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<sst xmlns="http://schemas.openxmlformats.org/spreadsheetml/2006/main" count="93" uniqueCount="82">
  <si>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Помісячні витрати по Андріївській СРШ I-III ступенів за 2017 рік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</si>
  <si>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</si>
  <si>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</si>
  <si>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</si>
  <si>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</si>
  <si>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</si>
  <si>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</si>
  <si>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</si>
  <si>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</si>
  <si>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</si>
  <si>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</si>
  <si>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</si>
  <si>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</si>
  <si>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</si>
  <si>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</si>
  <si>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Загальний фонд</t>
  </si>
  <si>
    <t>Освітня субвенція</t>
  </si>
  <si>
    <t>2111-заробітна плата</t>
  </si>
  <si>
    <t>2120-нарахування на заробітну плату</t>
  </si>
  <si>
    <t>Місцевий бюджет</t>
  </si>
  <si>
    <t>2210-предмети, матеріали, обладнання та інвентар:</t>
  </si>
  <si>
    <t>питна вода</t>
  </si>
  <si>
    <t>папір А4</t>
  </si>
  <si>
    <t>файли А4</t>
  </si>
  <si>
    <t>швидкозшивач пластиковий</t>
  </si>
  <si>
    <t>тека для паперу</t>
  </si>
  <si>
    <t>шпаклівка АВС</t>
  </si>
  <si>
    <t>шпаклівка КНАУФ</t>
  </si>
  <si>
    <t>крейда</t>
  </si>
  <si>
    <t>щітки</t>
  </si>
  <si>
    <t>макловиця</t>
  </si>
  <si>
    <t>синька</t>
  </si>
  <si>
    <t>шпатель</t>
  </si>
  <si>
    <t>водоемульсіонна фарба</t>
  </si>
  <si>
    <t>фарба голуба</t>
  </si>
  <si>
    <t>фарба зелена</t>
  </si>
  <si>
    <t>фарба біла</t>
  </si>
  <si>
    <t>фарба жовта</t>
  </si>
  <si>
    <t>фарба жовто-коричнева</t>
  </si>
  <si>
    <t>шпалери</t>
  </si>
  <si>
    <t>клей</t>
  </si>
  <si>
    <t>водостічна труба</t>
  </si>
  <si>
    <t>муфта труби</t>
  </si>
  <si>
    <t>коліно</t>
  </si>
  <si>
    <t>труби</t>
  </si>
  <si>
    <t>батарея акумуляторна</t>
  </si>
  <si>
    <t>чашки</t>
  </si>
  <si>
    <t>лампочки</t>
  </si>
  <si>
    <t>білизна</t>
  </si>
  <si>
    <t>2230-продукти харчування</t>
  </si>
  <si>
    <t>2240-оплата послуг:</t>
  </si>
  <si>
    <t>телефон</t>
  </si>
  <si>
    <t>встановлення лічильника</t>
  </si>
  <si>
    <t>доставка підручників</t>
  </si>
  <si>
    <t>медичний огляд</t>
  </si>
  <si>
    <t>лабораторні дослідження</t>
  </si>
  <si>
    <t>перезарядка вогнегасників</t>
  </si>
  <si>
    <t>перевірка опору ізоляції кабелів і проводів</t>
  </si>
  <si>
    <t>курс "Школа"</t>
  </si>
  <si>
    <t>розробки енергетичного паспорту</t>
  </si>
  <si>
    <t>заправка картриджа</t>
  </si>
  <si>
    <t>монтаж та налагоджування пожежної сигналізації</t>
  </si>
  <si>
    <t>проектування автоматичної пожежної сигналізації</t>
  </si>
  <si>
    <t>реєстрація шкільного автобуса</t>
  </si>
  <si>
    <t>2270-оплата комунальних послуг та енергоносіїв:</t>
  </si>
  <si>
    <t>2271-теплопостачання</t>
  </si>
  <si>
    <t>2272-водопостачання</t>
  </si>
  <si>
    <t>2273-електроенергія</t>
  </si>
  <si>
    <t>2282-навчання</t>
  </si>
  <si>
    <t>2730-страхування</t>
  </si>
  <si>
    <t>Інша субвенція (інклюзія)</t>
  </si>
  <si>
    <t>2210-товари</t>
  </si>
  <si>
    <t>Сілький бюджет</t>
  </si>
  <si>
    <t>Спеціальний фонд</t>
  </si>
  <si>
    <t>3110-придбання обладн. і предметів довгостр. корист.</t>
  </si>
  <si>
    <t>шкільний автобус</t>
  </si>
  <si>
    <t>3132-капітальний ремонт інших об'єктів</t>
  </si>
  <si>
    <t>виготовл.проектно-кошторисної документації по заміні дерев`яних віконних блоків на металопластикові</t>
  </si>
  <si>
    <t>капітальний ремонт приміщення (кабінет Медіатеки)</t>
  </si>
  <si>
    <t>проектні роботи по кабінету Медіатеки</t>
  </si>
  <si>
    <t>авторський нагляд по кабінету Медіатеки</t>
  </si>
  <si>
    <t>технічний нагляд по кабінету Медіатеки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</si>
</sst>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8">
    <font>
      <sz val="10"/>
      <name val="Arial Cyr"/>
      <family val="2"/>
    </font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6" fontId="4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1" xfId="0" applyFont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/>
    </xf>
    <xf numFmtId="164" fontId="3" fillId="0" borderId="3" xfId="0" applyFont="1" applyFill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4" xfId="0" applyFont="1" applyFill="1" applyBorder="1" applyAlignment="1">
      <alignment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right"/>
    </xf>
    <xf numFmtId="164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43">
      <selection activeCell="A2" sqref="A2"/>
    </sheetView>
  </sheetViews>
  <sheetFormatPr defaultColWidth="9.00390625" defaultRowHeight="12.75"/>
  <cols>
    <col min="1" max="1" width="23.25390625" style="0" customWidth="1"/>
    <col min="2" max="2" width="9.75390625" style="0" customWidth="1"/>
    <col min="3" max="3" width="10.00390625" style="0" customWidth="1"/>
    <col min="4" max="4" width="9.75390625" style="0" customWidth="1"/>
    <col min="5" max="5" width="10.625" style="0" customWidth="1"/>
    <col min="6" max="6" width="10.125" style="0" customWidth="1"/>
    <col min="7" max="8" width="10.25390625" style="0" customWidth="1"/>
    <col min="9" max="9" width="10.625" style="0" customWidth="1"/>
    <col min="10" max="10" width="10.25390625" style="0" customWidth="1"/>
    <col min="11" max="11" width="10.00390625" style="0" customWidth="1"/>
    <col min="12" max="12" width="10.25390625" style="0" customWidth="1"/>
    <col min="13" max="13" width="10.625" style="0" customWidth="1"/>
    <col min="14" max="14" width="11.625" style="0" customWidth="1"/>
  </cols>
  <sheetData>
    <row r="1" spans="1:14" s="2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s="2" customFormat="1" ht="18.75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3.5">
      <c r="A4" s="5" t="s">
        <v>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>
        <f>SUM(N5:N6)</f>
        <v>2878606.91</v>
      </c>
    </row>
    <row r="5" spans="1:14" s="2" customFormat="1" ht="14.25" customHeight="1">
      <c r="A5" s="8" t="s">
        <v>17</v>
      </c>
      <c r="B5" s="9">
        <f>76057.38+53483.09</f>
        <v>129540.47</v>
      </c>
      <c r="C5" s="9">
        <f>46140.76+80262+104066.02</f>
        <v>230468.78000000003</v>
      </c>
      <c r="D5" s="9">
        <f>80331.3+102558.92</f>
        <v>182890.22</v>
      </c>
      <c r="E5" s="9">
        <f>80331.3+97664.15</f>
        <v>177995.45</v>
      </c>
      <c r="F5" s="9">
        <f>80331.3+156220.62</f>
        <v>236551.91999999998</v>
      </c>
      <c r="G5" s="10">
        <f>375497.71+70958.78</f>
        <v>446456.49</v>
      </c>
      <c r="H5" s="9">
        <f>1466.18+875.02</f>
        <v>2341.2</v>
      </c>
      <c r="I5" s="9">
        <v>107834.52</v>
      </c>
      <c r="J5" s="9">
        <f>89264.7+110220.29+6049.28</f>
        <v>205534.27</v>
      </c>
      <c r="K5" s="9">
        <f>90209.7+103333.99</f>
        <v>193543.69</v>
      </c>
      <c r="L5" s="9">
        <f>88527.6+124262.92</f>
        <v>212790.52000000002</v>
      </c>
      <c r="M5" s="11">
        <f>88527.6+118001.09+38632.71</f>
        <v>245161.4</v>
      </c>
      <c r="N5" s="9">
        <f aca="true" t="shared" si="0" ref="N5:N6">SUM(B5:M5)</f>
        <v>2371108.93</v>
      </c>
    </row>
    <row r="6" spans="1:14" s="2" customFormat="1" ht="26.25" customHeight="1">
      <c r="A6" s="8" t="s">
        <v>18</v>
      </c>
      <c r="B6" s="9">
        <f>16251.45+11281.01</f>
        <v>27532.46</v>
      </c>
      <c r="C6" s="9">
        <f>9869.72+17107.12+22197.35</f>
        <v>49174.189999999995</v>
      </c>
      <c r="D6" s="9">
        <f>17122.37+21865.79</f>
        <v>38988.16</v>
      </c>
      <c r="E6" s="9">
        <f>17122.37+20920.27</f>
        <v>38042.64</v>
      </c>
      <c r="F6" s="9">
        <f>17122.37+31100.52</f>
        <v>48222.89</v>
      </c>
      <c r="G6" s="9">
        <f>82441.43+15610.93</f>
        <v>98052.35999999999</v>
      </c>
      <c r="H6" s="9">
        <f>322.56+192.5</f>
        <v>515.06</v>
      </c>
      <c r="I6" s="9">
        <v>22532.62</v>
      </c>
      <c r="J6" s="9">
        <f>19092+23556.66+1330.84</f>
        <v>43979.5</v>
      </c>
      <c r="K6" s="9">
        <f>19299.9+22041.67</f>
        <v>41341.57</v>
      </c>
      <c r="L6" s="9">
        <f>18929.83+27740.24</f>
        <v>46670.07000000001</v>
      </c>
      <c r="M6" s="11">
        <f>18929.83+25237.23+8279.4</f>
        <v>52446.46</v>
      </c>
      <c r="N6" s="9">
        <f t="shared" si="0"/>
        <v>507497.98000000004</v>
      </c>
    </row>
    <row r="7" spans="1:14" s="2" customFormat="1" ht="13.5">
      <c r="A7" s="5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>
        <f>N8+N9+N10+N39+N40+N55+N56+N57+N58+N59</f>
        <v>1735326.89</v>
      </c>
    </row>
    <row r="8" spans="1:14" s="2" customFormat="1" ht="15" customHeight="1">
      <c r="A8" s="8" t="s">
        <v>17</v>
      </c>
      <c r="B8" s="9">
        <f>19895.4+19833.44</f>
        <v>39728.84</v>
      </c>
      <c r="C8" s="9">
        <f>28718.84+29622.6+35968.11</f>
        <v>94309.55</v>
      </c>
      <c r="D8" s="9">
        <f>28797.3+38983.73</f>
        <v>67781.03</v>
      </c>
      <c r="E8" s="9">
        <f>24210.9+20910.95</f>
        <v>45121.850000000006</v>
      </c>
      <c r="F8" s="9">
        <f>24210.9+37214.75</f>
        <v>61425.65</v>
      </c>
      <c r="G8" s="9">
        <f>23064.3+31422.9</f>
        <v>54487.2</v>
      </c>
      <c r="H8" s="9">
        <f>61313.77+9700.34</f>
        <v>71014.11</v>
      </c>
      <c r="I8" s="9">
        <v>42445.39</v>
      </c>
      <c r="J8" s="12">
        <f>25657.8+38799.5</f>
        <v>64457.3</v>
      </c>
      <c r="K8" s="9">
        <f>23467.5+36836.25+6400</f>
        <v>66703.75</v>
      </c>
      <c r="L8" s="9">
        <f>24878.7+34046.33</f>
        <v>58925.03</v>
      </c>
      <c r="M8" s="11">
        <f>27701.1+36350.61</f>
        <v>64051.71</v>
      </c>
      <c r="N8" s="9">
        <f aca="true" t="shared" si="1" ref="N8:N9">SUM(B8:M8)</f>
        <v>730451.41</v>
      </c>
    </row>
    <row r="9" spans="1:14" s="2" customFormat="1" ht="27.75" customHeight="1">
      <c r="A9" s="8" t="s">
        <v>18</v>
      </c>
      <c r="B9" s="9">
        <f>4267.4+4254.82</f>
        <v>8522.22</v>
      </c>
      <c r="C9" s="9">
        <f>7822.29+6172.79+6101.39</f>
        <v>20096.47</v>
      </c>
      <c r="D9" s="9">
        <f>6019.48+8174.34</f>
        <v>14193.82</v>
      </c>
      <c r="E9" s="9">
        <f>5010.47+4359.55</f>
        <v>9370.02</v>
      </c>
      <c r="F9" s="9">
        <f>5010.47+7450.45</f>
        <v>12460.92</v>
      </c>
      <c r="G9" s="9">
        <f>4758.22+6312.68</f>
        <v>11070.900000000001</v>
      </c>
      <c r="H9" s="9">
        <f>13087.02+2134.07</f>
        <v>15221.09</v>
      </c>
      <c r="I9" s="9">
        <v>8712.87</v>
      </c>
      <c r="J9" s="12">
        <f>5328.79+8134.81</f>
        <v>13463.6</v>
      </c>
      <c r="K9" s="9">
        <f>5038.71+9014.1</f>
        <v>14052.810000000001</v>
      </c>
      <c r="L9" s="9">
        <f>5157.39+931.39+11325.9</f>
        <v>17414.68</v>
      </c>
      <c r="M9" s="11">
        <f>6088.78+8633.56</f>
        <v>14722.34</v>
      </c>
      <c r="N9" s="9">
        <f t="shared" si="1"/>
        <v>159301.74</v>
      </c>
    </row>
    <row r="10" spans="1:14" s="2" customFormat="1" ht="26.25" customHeight="1">
      <c r="A10" s="13" t="s">
        <v>20</v>
      </c>
      <c r="B10" s="9">
        <f>SUM(B11:B38)</f>
        <v>0</v>
      </c>
      <c r="C10" s="9">
        <f>SUM(C11:C38)</f>
        <v>0</v>
      </c>
      <c r="D10" s="9">
        <f>SUM(D11:D38)</f>
        <v>1200</v>
      </c>
      <c r="E10" s="9">
        <f>SUM(E11:E38)</f>
        <v>1200</v>
      </c>
      <c r="F10" s="9">
        <f>SUM(F11:F38)</f>
        <v>0</v>
      </c>
      <c r="G10" s="9">
        <f>SUM(G11:G38)</f>
        <v>10783</v>
      </c>
      <c r="H10" s="9">
        <f>SUM(H11:H38)</f>
        <v>0</v>
      </c>
      <c r="I10" s="9">
        <f>SUM(I11:I38)</f>
        <v>0</v>
      </c>
      <c r="J10" s="9">
        <f>SUM(J11:J38)</f>
        <v>0</v>
      </c>
      <c r="K10" s="9">
        <f>SUM(K11:K38)</f>
        <v>2588</v>
      </c>
      <c r="L10" s="9">
        <f>SUM(L11:L38)</f>
        <v>1271</v>
      </c>
      <c r="M10" s="9">
        <f>SUM(M11:M38)</f>
        <v>3040</v>
      </c>
      <c r="N10" s="9">
        <f>SUM(N11:N38)</f>
        <v>20082</v>
      </c>
    </row>
    <row r="11" spans="1:14" s="2" customFormat="1" ht="12.75">
      <c r="A11" s="14" t="s">
        <v>21</v>
      </c>
      <c r="B11" s="15"/>
      <c r="C11" s="6"/>
      <c r="D11" s="6">
        <v>1200</v>
      </c>
      <c r="E11" s="6">
        <v>1200</v>
      </c>
      <c r="F11" s="6"/>
      <c r="G11" s="6">
        <v>900</v>
      </c>
      <c r="H11" s="6"/>
      <c r="I11" s="6"/>
      <c r="J11" s="6"/>
      <c r="K11" s="6">
        <v>1900</v>
      </c>
      <c r="L11" s="6"/>
      <c r="M11" s="6">
        <v>1800</v>
      </c>
      <c r="N11" s="6">
        <f aca="true" t="shared" si="2" ref="N11:N53">SUM(B11:M11)</f>
        <v>7000</v>
      </c>
    </row>
    <row r="12" spans="1:14" s="2" customFormat="1" ht="12.75">
      <c r="A12" s="14" t="s">
        <v>22</v>
      </c>
      <c r="B12" s="6"/>
      <c r="C12" s="6"/>
      <c r="D12" s="6"/>
      <c r="E12" s="6"/>
      <c r="F12" s="6"/>
      <c r="G12" s="6">
        <v>650</v>
      </c>
      <c r="H12" s="6"/>
      <c r="I12" s="6"/>
      <c r="J12" s="6"/>
      <c r="K12" s="6"/>
      <c r="L12" s="6">
        <v>425</v>
      </c>
      <c r="M12" s="6"/>
      <c r="N12" s="6">
        <f t="shared" si="2"/>
        <v>1075</v>
      </c>
    </row>
    <row r="13" spans="1:14" s="2" customFormat="1" ht="12.75">
      <c r="A13" s="14" t="s">
        <v>23</v>
      </c>
      <c r="B13" s="6"/>
      <c r="C13" s="6"/>
      <c r="D13" s="6"/>
      <c r="E13" s="6"/>
      <c r="F13" s="6"/>
      <c r="G13" s="6">
        <v>30.8</v>
      </c>
      <c r="H13" s="6"/>
      <c r="I13" s="6"/>
      <c r="J13" s="6"/>
      <c r="K13" s="6"/>
      <c r="L13" s="6">
        <v>32.5</v>
      </c>
      <c r="M13" s="6"/>
      <c r="N13" s="6">
        <f t="shared" si="2"/>
        <v>63.3</v>
      </c>
    </row>
    <row r="14" spans="1:14" s="2" customFormat="1" ht="14.25" customHeight="1">
      <c r="A14" s="16" t="s">
        <v>24</v>
      </c>
      <c r="B14" s="6"/>
      <c r="C14" s="6"/>
      <c r="D14" s="6"/>
      <c r="E14" s="6"/>
      <c r="F14" s="6"/>
      <c r="G14" s="6">
        <v>14.5</v>
      </c>
      <c r="H14" s="6"/>
      <c r="I14" s="6"/>
      <c r="J14" s="6"/>
      <c r="K14" s="6"/>
      <c r="L14" s="6">
        <v>6.15</v>
      </c>
      <c r="M14" s="6"/>
      <c r="N14" s="6">
        <f t="shared" si="2"/>
        <v>20.65</v>
      </c>
    </row>
    <row r="15" spans="1:14" s="2" customFormat="1" ht="12.75">
      <c r="A15" s="14" t="s">
        <v>25</v>
      </c>
      <c r="B15" s="6"/>
      <c r="C15" s="6"/>
      <c r="D15" s="6"/>
      <c r="E15" s="6"/>
      <c r="F15" s="6"/>
      <c r="G15" s="6">
        <v>4.7</v>
      </c>
      <c r="H15" s="6"/>
      <c r="I15" s="6"/>
      <c r="J15" s="6"/>
      <c r="K15" s="6"/>
      <c r="L15" s="6">
        <v>7.35</v>
      </c>
      <c r="M15" s="6"/>
      <c r="N15" s="6">
        <f t="shared" si="2"/>
        <v>12.05</v>
      </c>
    </row>
    <row r="16" spans="1:14" s="2" customFormat="1" ht="12.75">
      <c r="A16" s="14" t="s">
        <v>26</v>
      </c>
      <c r="B16" s="6"/>
      <c r="C16" s="6"/>
      <c r="D16" s="6"/>
      <c r="E16" s="6"/>
      <c r="F16" s="6"/>
      <c r="G16" s="6">
        <v>480</v>
      </c>
      <c r="H16" s="6"/>
      <c r="I16" s="6"/>
      <c r="J16" s="6"/>
      <c r="K16" s="6"/>
      <c r="L16" s="6"/>
      <c r="M16" s="6"/>
      <c r="N16" s="6">
        <f t="shared" si="2"/>
        <v>480</v>
      </c>
    </row>
    <row r="17" spans="1:14" s="2" customFormat="1" ht="12.75">
      <c r="A17" s="14" t="s">
        <v>27</v>
      </c>
      <c r="B17" s="6"/>
      <c r="C17" s="6"/>
      <c r="D17" s="6"/>
      <c r="E17" s="6"/>
      <c r="F17" s="6"/>
      <c r="G17" s="6">
        <v>300</v>
      </c>
      <c r="H17" s="6"/>
      <c r="I17" s="6"/>
      <c r="J17" s="6"/>
      <c r="K17" s="6"/>
      <c r="L17" s="6"/>
      <c r="M17" s="6"/>
      <c r="N17" s="6">
        <f t="shared" si="2"/>
        <v>300</v>
      </c>
    </row>
    <row r="18" spans="1:14" s="2" customFormat="1" ht="12.75">
      <c r="A18" s="14" t="s">
        <v>28</v>
      </c>
      <c r="B18" s="6"/>
      <c r="C18" s="6"/>
      <c r="D18" s="6"/>
      <c r="E18" s="6"/>
      <c r="F18" s="6"/>
      <c r="G18" s="6">
        <v>350</v>
      </c>
      <c r="H18" s="6"/>
      <c r="I18" s="6"/>
      <c r="J18" s="6"/>
      <c r="K18" s="6"/>
      <c r="L18" s="6"/>
      <c r="M18" s="6">
        <v>96.25</v>
      </c>
      <c r="N18" s="6">
        <f t="shared" si="2"/>
        <v>446.25</v>
      </c>
    </row>
    <row r="19" spans="1:14" s="2" customFormat="1" ht="12.75">
      <c r="A19" s="14" t="s">
        <v>29</v>
      </c>
      <c r="B19" s="6"/>
      <c r="C19" s="6"/>
      <c r="D19" s="6"/>
      <c r="E19" s="6"/>
      <c r="F19" s="6"/>
      <c r="G19" s="6">
        <v>175</v>
      </c>
      <c r="H19" s="6"/>
      <c r="I19" s="6"/>
      <c r="J19" s="6"/>
      <c r="K19" s="6"/>
      <c r="L19" s="6"/>
      <c r="M19" s="6"/>
      <c r="N19" s="6">
        <f t="shared" si="2"/>
        <v>175</v>
      </c>
    </row>
    <row r="20" spans="1:14" s="2" customFormat="1" ht="12.75">
      <c r="A20" s="14" t="s">
        <v>30</v>
      </c>
      <c r="B20" s="6"/>
      <c r="C20" s="6"/>
      <c r="D20" s="6"/>
      <c r="E20" s="6"/>
      <c r="F20" s="6"/>
      <c r="G20" s="6">
        <v>240</v>
      </c>
      <c r="H20" s="6"/>
      <c r="I20" s="6"/>
      <c r="J20" s="6"/>
      <c r="K20" s="6"/>
      <c r="L20" s="6"/>
      <c r="M20" s="6"/>
      <c r="N20" s="6">
        <f t="shared" si="2"/>
        <v>240</v>
      </c>
    </row>
    <row r="21" spans="1:14" s="2" customFormat="1" ht="12.75">
      <c r="A21" s="14" t="s">
        <v>31</v>
      </c>
      <c r="B21" s="6"/>
      <c r="C21" s="6"/>
      <c r="D21" s="6"/>
      <c r="E21" s="6"/>
      <c r="F21" s="6"/>
      <c r="G21" s="6">
        <v>160</v>
      </c>
      <c r="H21" s="6"/>
      <c r="I21" s="6"/>
      <c r="J21" s="6"/>
      <c r="K21" s="6"/>
      <c r="L21" s="6"/>
      <c r="M21" s="6"/>
      <c r="N21" s="6">
        <f t="shared" si="2"/>
        <v>160</v>
      </c>
    </row>
    <row r="22" spans="1:14" s="2" customFormat="1" ht="12.75">
      <c r="A22" s="14" t="s">
        <v>32</v>
      </c>
      <c r="B22" s="6"/>
      <c r="C22" s="6"/>
      <c r="D22" s="6"/>
      <c r="E22" s="6"/>
      <c r="F22" s="6"/>
      <c r="G22" s="6">
        <v>100</v>
      </c>
      <c r="H22" s="6"/>
      <c r="I22" s="6"/>
      <c r="J22" s="6"/>
      <c r="K22" s="6"/>
      <c r="L22" s="6"/>
      <c r="M22" s="6"/>
      <c r="N22" s="6">
        <f t="shared" si="2"/>
        <v>100</v>
      </c>
    </row>
    <row r="23" spans="1:14" s="2" customFormat="1" ht="13.5" customHeight="1">
      <c r="A23" s="16" t="s">
        <v>33</v>
      </c>
      <c r="B23" s="6"/>
      <c r="C23" s="6"/>
      <c r="D23" s="6"/>
      <c r="E23" s="6"/>
      <c r="F23" s="6"/>
      <c r="G23" s="6">
        <v>148</v>
      </c>
      <c r="H23" s="6"/>
      <c r="I23" s="6"/>
      <c r="J23" s="6"/>
      <c r="K23" s="6"/>
      <c r="L23" s="6"/>
      <c r="M23" s="6"/>
      <c r="N23" s="6">
        <f t="shared" si="2"/>
        <v>148</v>
      </c>
    </row>
    <row r="24" spans="1:14" s="2" customFormat="1" ht="12.75">
      <c r="A24" s="14" t="s">
        <v>34</v>
      </c>
      <c r="B24" s="6"/>
      <c r="C24" s="6"/>
      <c r="D24" s="6"/>
      <c r="E24" s="6"/>
      <c r="F24" s="6"/>
      <c r="G24" s="6">
        <v>960</v>
      </c>
      <c r="H24" s="6"/>
      <c r="I24" s="6"/>
      <c r="J24" s="6"/>
      <c r="K24" s="6"/>
      <c r="L24" s="6"/>
      <c r="M24" s="6"/>
      <c r="N24" s="6">
        <f t="shared" si="2"/>
        <v>960</v>
      </c>
    </row>
    <row r="25" spans="1:14" s="2" customFormat="1" ht="12.75">
      <c r="A25" s="14" t="s">
        <v>35</v>
      </c>
      <c r="B25" s="6"/>
      <c r="C25" s="6"/>
      <c r="D25" s="6"/>
      <c r="E25" s="6"/>
      <c r="F25" s="6"/>
      <c r="G25" s="6">
        <v>910</v>
      </c>
      <c r="H25" s="6"/>
      <c r="I25" s="6"/>
      <c r="J25" s="6"/>
      <c r="K25" s="6"/>
      <c r="L25" s="6"/>
      <c r="M25" s="6"/>
      <c r="N25" s="6">
        <f t="shared" si="2"/>
        <v>910</v>
      </c>
    </row>
    <row r="26" spans="1:14" s="2" customFormat="1" ht="12.75">
      <c r="A26" s="14" t="s">
        <v>36</v>
      </c>
      <c r="B26" s="6"/>
      <c r="C26" s="6"/>
      <c r="D26" s="6"/>
      <c r="E26" s="6"/>
      <c r="F26" s="6"/>
      <c r="G26" s="6">
        <v>1215</v>
      </c>
      <c r="H26" s="6"/>
      <c r="I26" s="6"/>
      <c r="J26" s="6"/>
      <c r="K26" s="6"/>
      <c r="L26" s="6"/>
      <c r="M26" s="6"/>
      <c r="N26" s="6">
        <f t="shared" si="2"/>
        <v>1215</v>
      </c>
    </row>
    <row r="27" spans="1:14" s="2" customFormat="1" ht="12.75">
      <c r="A27" s="14" t="s">
        <v>37</v>
      </c>
      <c r="B27" s="6"/>
      <c r="C27" s="6"/>
      <c r="D27" s="6"/>
      <c r="E27" s="6"/>
      <c r="F27" s="6"/>
      <c r="G27" s="6">
        <v>510</v>
      </c>
      <c r="H27" s="6"/>
      <c r="I27" s="6"/>
      <c r="J27" s="6"/>
      <c r="K27" s="6"/>
      <c r="L27" s="6"/>
      <c r="M27" s="6"/>
      <c r="N27" s="6">
        <f t="shared" si="2"/>
        <v>510</v>
      </c>
    </row>
    <row r="28" spans="1:14" s="2" customFormat="1" ht="14.25" customHeight="1">
      <c r="A28" s="16" t="s">
        <v>38</v>
      </c>
      <c r="B28" s="6"/>
      <c r="C28" s="6"/>
      <c r="D28" s="6"/>
      <c r="E28" s="6"/>
      <c r="F28" s="6"/>
      <c r="G28" s="6">
        <v>672</v>
      </c>
      <c r="H28" s="6"/>
      <c r="I28" s="6"/>
      <c r="J28" s="6"/>
      <c r="K28" s="6"/>
      <c r="L28" s="6"/>
      <c r="M28" s="6"/>
      <c r="N28" s="6">
        <f t="shared" si="2"/>
        <v>672</v>
      </c>
    </row>
    <row r="29" spans="1:14" s="2" customFormat="1" ht="12.75">
      <c r="A29" s="14" t="s">
        <v>39</v>
      </c>
      <c r="B29" s="6"/>
      <c r="C29" s="6"/>
      <c r="D29" s="6"/>
      <c r="E29" s="6"/>
      <c r="F29" s="6"/>
      <c r="G29" s="6">
        <v>1360</v>
      </c>
      <c r="H29" s="6"/>
      <c r="I29" s="6"/>
      <c r="J29" s="6"/>
      <c r="K29" s="6"/>
      <c r="L29" s="6"/>
      <c r="M29" s="6"/>
      <c r="N29" s="6">
        <f t="shared" si="2"/>
        <v>1360</v>
      </c>
    </row>
    <row r="30" spans="1:14" s="2" customFormat="1" ht="12.75">
      <c r="A30" s="14" t="s">
        <v>40</v>
      </c>
      <c r="B30" s="6"/>
      <c r="C30" s="6"/>
      <c r="D30" s="6"/>
      <c r="E30" s="6"/>
      <c r="F30" s="6"/>
      <c r="G30" s="6">
        <v>123</v>
      </c>
      <c r="H30" s="6"/>
      <c r="I30" s="6"/>
      <c r="J30" s="6"/>
      <c r="K30" s="6"/>
      <c r="L30" s="6"/>
      <c r="M30" s="6"/>
      <c r="N30" s="6">
        <f t="shared" si="2"/>
        <v>123</v>
      </c>
    </row>
    <row r="31" spans="1:14" s="2" customFormat="1" ht="12.75">
      <c r="A31" s="14" t="s">
        <v>41</v>
      </c>
      <c r="B31" s="6"/>
      <c r="C31" s="6"/>
      <c r="D31" s="6"/>
      <c r="E31" s="6"/>
      <c r="F31" s="6"/>
      <c r="G31" s="6">
        <v>1080</v>
      </c>
      <c r="H31" s="6"/>
      <c r="I31" s="6"/>
      <c r="J31" s="6"/>
      <c r="K31" s="6"/>
      <c r="L31" s="6"/>
      <c r="M31" s="6"/>
      <c r="N31" s="6">
        <f t="shared" si="2"/>
        <v>1080</v>
      </c>
    </row>
    <row r="32" spans="1:14" s="2" customFormat="1" ht="12.75">
      <c r="A32" s="14" t="s">
        <v>42</v>
      </c>
      <c r="B32" s="6"/>
      <c r="C32" s="6"/>
      <c r="D32" s="6"/>
      <c r="E32" s="6"/>
      <c r="F32" s="6"/>
      <c r="G32" s="6">
        <v>330</v>
      </c>
      <c r="H32" s="6"/>
      <c r="I32" s="6"/>
      <c r="J32" s="6"/>
      <c r="K32" s="6"/>
      <c r="L32" s="6"/>
      <c r="M32" s="6"/>
      <c r="N32" s="6">
        <f t="shared" si="2"/>
        <v>330</v>
      </c>
    </row>
    <row r="33" spans="1:14" s="2" customFormat="1" ht="12.75">
      <c r="A33" s="14" t="s">
        <v>43</v>
      </c>
      <c r="B33" s="6"/>
      <c r="C33" s="6"/>
      <c r="D33" s="6"/>
      <c r="E33" s="6"/>
      <c r="F33" s="6"/>
      <c r="G33" s="6">
        <v>70</v>
      </c>
      <c r="H33" s="6"/>
      <c r="I33" s="6"/>
      <c r="J33" s="6"/>
      <c r="K33" s="6"/>
      <c r="L33" s="6"/>
      <c r="M33" s="6"/>
      <c r="N33" s="6">
        <f t="shared" si="2"/>
        <v>70</v>
      </c>
    </row>
    <row r="34" spans="1:14" s="2" customFormat="1" ht="12.75">
      <c r="A34" s="14" t="s">
        <v>44</v>
      </c>
      <c r="B34" s="6"/>
      <c r="C34" s="6"/>
      <c r="D34" s="6"/>
      <c r="E34" s="6"/>
      <c r="F34" s="6"/>
      <c r="G34" s="6"/>
      <c r="H34" s="6"/>
      <c r="I34" s="6"/>
      <c r="J34" s="6"/>
      <c r="K34" s="6">
        <v>688</v>
      </c>
      <c r="L34" s="6"/>
      <c r="M34" s="6"/>
      <c r="N34" s="6">
        <f t="shared" si="2"/>
        <v>688</v>
      </c>
    </row>
    <row r="35" spans="1:14" s="2" customFormat="1" ht="12.75">
      <c r="A35" s="16" t="s">
        <v>45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>
        <v>800</v>
      </c>
      <c r="M35" s="6"/>
      <c r="N35" s="6">
        <f t="shared" si="2"/>
        <v>800</v>
      </c>
    </row>
    <row r="36" spans="1:14" s="2" customFormat="1" ht="12.75">
      <c r="A36" s="14" t="s">
        <v>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600</v>
      </c>
      <c r="N36" s="6">
        <f t="shared" si="2"/>
        <v>600</v>
      </c>
    </row>
    <row r="37" spans="1:14" s="2" customFormat="1" ht="12.75">
      <c r="A37" s="14" t="s">
        <v>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v>360</v>
      </c>
      <c r="N37" s="6">
        <f t="shared" si="2"/>
        <v>360</v>
      </c>
    </row>
    <row r="38" spans="1:14" s="2" customFormat="1" ht="12.75">
      <c r="A38" s="14" t="s">
        <v>48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>
        <v>183.75</v>
      </c>
      <c r="N38" s="6">
        <f t="shared" si="2"/>
        <v>183.75</v>
      </c>
    </row>
    <row r="39" spans="1:14" s="2" customFormat="1" ht="14.25" customHeight="1">
      <c r="A39" s="8" t="s">
        <v>49</v>
      </c>
      <c r="B39" s="9"/>
      <c r="C39" s="17">
        <f>6557.85+2318.7</f>
        <v>8876.55</v>
      </c>
      <c r="D39" s="17">
        <f>875.52+1238.9+3416.08</f>
        <v>5530.5</v>
      </c>
      <c r="E39" s="17">
        <f>2735.98</f>
        <v>2735.98</v>
      </c>
      <c r="F39" s="17">
        <f>1949.01+2491.85</f>
        <v>4440.86</v>
      </c>
      <c r="G39" s="17">
        <v>1032.6</v>
      </c>
      <c r="H39" s="9"/>
      <c r="I39" s="9">
        <v>383</v>
      </c>
      <c r="J39" s="17">
        <f>3742.04-714.12</f>
        <v>3027.92</v>
      </c>
      <c r="K39" s="17">
        <v>714.12</v>
      </c>
      <c r="L39" s="17">
        <f>3764.68+855.37</f>
        <v>4620.05</v>
      </c>
      <c r="M39" s="18">
        <f>1429.8+3209.57+763.55+211.25+137.75+131.85</f>
        <v>5883.77</v>
      </c>
      <c r="N39" s="9">
        <f t="shared" si="2"/>
        <v>37245.35</v>
      </c>
    </row>
    <row r="40" spans="1:14" s="2" customFormat="1" ht="12.75">
      <c r="A40" s="19" t="s">
        <v>50</v>
      </c>
      <c r="B40" s="9">
        <f>SUM(B41:B53)</f>
        <v>41.76</v>
      </c>
      <c r="C40" s="9">
        <f>SUM(C41:C53)</f>
        <v>1606.33</v>
      </c>
      <c r="D40" s="9">
        <f>SUM(D41:D53)</f>
        <v>107.62</v>
      </c>
      <c r="E40" s="9">
        <f>SUM(E41:E53)</f>
        <v>475.5</v>
      </c>
      <c r="F40" s="9">
        <f>SUM(F41:F53)</f>
        <v>53.72</v>
      </c>
      <c r="G40" s="9">
        <f>SUM(G41:G53)</f>
        <v>8403.529999999999</v>
      </c>
      <c r="H40" s="9">
        <f>SUM(H41:H53)</f>
        <v>53.89</v>
      </c>
      <c r="I40" s="9">
        <f>SUM(I41:I53)</f>
        <v>2805</v>
      </c>
      <c r="J40" s="9">
        <f>SUM(J41:J53)</f>
        <v>928</v>
      </c>
      <c r="K40" s="9">
        <f>SUM(K41:K53)</f>
        <v>54</v>
      </c>
      <c r="L40" s="9">
        <f>SUM(L41:L53)</f>
        <v>15054</v>
      </c>
      <c r="M40" s="9">
        <f>SUM(M41:M53)</f>
        <v>22491.82</v>
      </c>
      <c r="N40" s="9">
        <f t="shared" si="2"/>
        <v>52075.17</v>
      </c>
    </row>
    <row r="41" spans="1:14" s="2" customFormat="1" ht="12.75">
      <c r="A41" s="14" t="s">
        <v>51</v>
      </c>
      <c r="B41" s="6">
        <v>41.76</v>
      </c>
      <c r="C41" s="6"/>
      <c r="D41" s="6">
        <v>107.62</v>
      </c>
      <c r="E41" s="6">
        <v>184.6</v>
      </c>
      <c r="F41" s="6">
        <v>53.72</v>
      </c>
      <c r="G41" s="6">
        <v>53.64</v>
      </c>
      <c r="H41" s="6">
        <v>53.89</v>
      </c>
      <c r="I41" s="6"/>
      <c r="J41" s="6">
        <v>108</v>
      </c>
      <c r="K41" s="6">
        <v>54</v>
      </c>
      <c r="L41" s="6">
        <v>54</v>
      </c>
      <c r="M41" s="6">
        <v>108</v>
      </c>
      <c r="N41" s="6">
        <f t="shared" si="2"/>
        <v>819.23</v>
      </c>
    </row>
    <row r="42" spans="1:14" s="2" customFormat="1" ht="12.75">
      <c r="A42" s="16" t="s">
        <v>52</v>
      </c>
      <c r="B42" s="6"/>
      <c r="C42" s="6">
        <v>1606.33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f t="shared" si="2"/>
        <v>1606.33</v>
      </c>
    </row>
    <row r="43" spans="1:14" s="2" customFormat="1" ht="15" customHeight="1">
      <c r="A43" s="16" t="s">
        <v>53</v>
      </c>
      <c r="B43" s="6"/>
      <c r="C43" s="6"/>
      <c r="D43" s="6"/>
      <c r="E43" s="6">
        <v>290.9</v>
      </c>
      <c r="F43" s="6"/>
      <c r="G43" s="6"/>
      <c r="H43" s="6"/>
      <c r="I43" s="6"/>
      <c r="J43" s="6"/>
      <c r="K43" s="6"/>
      <c r="L43" s="6"/>
      <c r="M43" s="6">
        <v>1862.01</v>
      </c>
      <c r="N43" s="6">
        <f t="shared" si="2"/>
        <v>2152.91</v>
      </c>
    </row>
    <row r="44" spans="1:14" s="2" customFormat="1" ht="12.75">
      <c r="A44" s="16" t="s">
        <v>54</v>
      </c>
      <c r="B44" s="6"/>
      <c r="C44" s="6"/>
      <c r="D44" s="6"/>
      <c r="E44" s="6"/>
      <c r="F44" s="6"/>
      <c r="G44" s="6">
        <v>4440</v>
      </c>
      <c r="H44" s="6"/>
      <c r="I44" s="6"/>
      <c r="J44" s="6"/>
      <c r="K44" s="6"/>
      <c r="L44" s="6"/>
      <c r="M44" s="6"/>
      <c r="N44" s="6">
        <f t="shared" si="2"/>
        <v>4440</v>
      </c>
    </row>
    <row r="45" spans="1:14" s="2" customFormat="1" ht="12.75">
      <c r="A45" s="16" t="s">
        <v>55</v>
      </c>
      <c r="B45" s="6"/>
      <c r="C45" s="6"/>
      <c r="D45" s="6"/>
      <c r="E45" s="6"/>
      <c r="F45" s="6"/>
      <c r="G45" s="6">
        <v>3909.89</v>
      </c>
      <c r="H45" s="6"/>
      <c r="I45" s="6"/>
      <c r="J45" s="6"/>
      <c r="K45" s="6"/>
      <c r="L45" s="6"/>
      <c r="M45" s="6"/>
      <c r="N45" s="6">
        <f t="shared" si="2"/>
        <v>3909.89</v>
      </c>
    </row>
    <row r="46" spans="1:14" s="2" customFormat="1" ht="13.5" customHeight="1">
      <c r="A46" s="16" t="s">
        <v>56</v>
      </c>
      <c r="B46" s="6"/>
      <c r="C46" s="6"/>
      <c r="D46" s="6"/>
      <c r="E46" s="6"/>
      <c r="F46" s="6"/>
      <c r="G46" s="6"/>
      <c r="H46" s="6"/>
      <c r="I46" s="6">
        <v>805</v>
      </c>
      <c r="J46" s="6"/>
      <c r="K46" s="6"/>
      <c r="L46" s="6"/>
      <c r="M46" s="6"/>
      <c r="N46" s="6">
        <f t="shared" si="2"/>
        <v>805</v>
      </c>
    </row>
    <row r="47" spans="1:14" s="2" customFormat="1" ht="26.25" customHeight="1">
      <c r="A47" s="16" t="s">
        <v>57</v>
      </c>
      <c r="B47" s="6"/>
      <c r="C47" s="6"/>
      <c r="D47" s="6"/>
      <c r="E47" s="6"/>
      <c r="F47" s="6"/>
      <c r="G47" s="6"/>
      <c r="H47" s="6"/>
      <c r="I47" s="6">
        <v>2000</v>
      </c>
      <c r="J47" s="6"/>
      <c r="K47" s="6"/>
      <c r="L47" s="6"/>
      <c r="M47" s="6"/>
      <c r="N47" s="6">
        <f t="shared" si="2"/>
        <v>2000</v>
      </c>
    </row>
    <row r="48" spans="1:14" s="2" customFormat="1" ht="13.5" customHeight="1">
      <c r="A48" s="16" t="s">
        <v>58</v>
      </c>
      <c r="B48" s="6"/>
      <c r="C48" s="6"/>
      <c r="D48" s="6"/>
      <c r="E48" s="6"/>
      <c r="F48" s="6"/>
      <c r="G48" s="6"/>
      <c r="H48" s="6"/>
      <c r="I48" s="6"/>
      <c r="J48" s="6">
        <v>820</v>
      </c>
      <c r="K48" s="6"/>
      <c r="L48" s="6"/>
      <c r="M48" s="6"/>
      <c r="N48" s="6">
        <f t="shared" si="2"/>
        <v>820</v>
      </c>
    </row>
    <row r="49" spans="1:14" s="2" customFormat="1" ht="24.75" customHeight="1">
      <c r="A49" s="16" t="s">
        <v>59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>
        <v>15000</v>
      </c>
      <c r="M49" s="6"/>
      <c r="N49" s="6">
        <f t="shared" si="2"/>
        <v>15000</v>
      </c>
    </row>
    <row r="50" spans="1:14" s="2" customFormat="1" ht="15" customHeight="1">
      <c r="A50" s="16" t="s">
        <v>60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>
        <v>540</v>
      </c>
      <c r="N50" s="6">
        <f t="shared" si="2"/>
        <v>540</v>
      </c>
    </row>
    <row r="51" spans="1:14" s="2" customFormat="1" ht="24.75" customHeight="1">
      <c r="A51" s="16" t="s">
        <v>61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>
        <v>16999.9</v>
      </c>
      <c r="N51" s="6">
        <f t="shared" si="2"/>
        <v>16999.9</v>
      </c>
    </row>
    <row r="52" spans="1:14" s="2" customFormat="1" ht="23.25" customHeight="1">
      <c r="A52" s="16" t="s">
        <v>62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v>2500</v>
      </c>
      <c r="N52" s="6">
        <f t="shared" si="2"/>
        <v>2500</v>
      </c>
    </row>
    <row r="53" spans="1:14" s="2" customFormat="1" ht="26.25" customHeight="1">
      <c r="A53" s="16" t="s">
        <v>63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>
        <v>481.91</v>
      </c>
      <c r="N53" s="6">
        <f t="shared" si="2"/>
        <v>481.91</v>
      </c>
    </row>
    <row r="54" spans="1:14" s="2" customFormat="1" ht="26.25" customHeight="1">
      <c r="A54" s="20" t="s">
        <v>64</v>
      </c>
      <c r="B54" s="9">
        <f>SUM(B55:B57)</f>
        <v>87887.84</v>
      </c>
      <c r="C54" s="9">
        <f>SUM(C55:C57)</f>
        <v>117194.8</v>
      </c>
      <c r="D54" s="9">
        <f>SUM(D55:D57)</f>
        <v>138862.46000000002</v>
      </c>
      <c r="E54" s="9">
        <f>SUM(E55:E57)</f>
        <v>67430.41</v>
      </c>
      <c r="F54" s="9">
        <f>SUM(F55:F57)</f>
        <v>5045.57</v>
      </c>
      <c r="G54" s="9">
        <f>SUM(G55:G57)</f>
        <v>4194.24</v>
      </c>
      <c r="H54" s="9">
        <f>SUM(H55:H57)</f>
        <v>214.5</v>
      </c>
      <c r="I54" s="9">
        <f>SUM(I55:I57)</f>
        <v>925.61</v>
      </c>
      <c r="J54" s="9">
        <f>SUM(J55:J57)</f>
        <v>5405.03</v>
      </c>
      <c r="K54" s="9">
        <f>SUM(K55:K57)</f>
        <v>58105.38</v>
      </c>
      <c r="L54" s="9">
        <f>SUM(L55:L57)</f>
        <v>8453.07</v>
      </c>
      <c r="M54" s="9">
        <f>SUM(M55:M57)</f>
        <v>240393.06999999998</v>
      </c>
      <c r="N54" s="9">
        <f>SUM(N55:N57)</f>
        <v>734111.98</v>
      </c>
    </row>
    <row r="55" spans="1:14" s="2" customFormat="1" ht="15.75" customHeight="1">
      <c r="A55" s="21" t="s">
        <v>65</v>
      </c>
      <c r="B55" s="6">
        <f>81479.02</f>
        <v>81479.02</v>
      </c>
      <c r="C55" s="6">
        <f>109614.6</f>
        <v>109614.6</v>
      </c>
      <c r="D55" s="6">
        <f>18564.84+113457.52</f>
        <v>132022.36000000002</v>
      </c>
      <c r="E55" s="6">
        <f>62767.63</f>
        <v>62767.63</v>
      </c>
      <c r="F55" s="6"/>
      <c r="G55" s="6"/>
      <c r="H55" s="6"/>
      <c r="I55" s="6"/>
      <c r="J55" s="6"/>
      <c r="K55" s="6">
        <v>50955.84</v>
      </c>
      <c r="L55" s="18"/>
      <c r="M55" s="18">
        <f>77962.44+155198.11</f>
        <v>233160.55</v>
      </c>
      <c r="N55" s="6">
        <f aca="true" t="shared" si="3" ref="N55:N59">SUM(B55:M55)</f>
        <v>670000</v>
      </c>
    </row>
    <row r="56" spans="1:14" s="2" customFormat="1" ht="12.75">
      <c r="A56" s="22" t="s">
        <v>66</v>
      </c>
      <c r="B56" s="6"/>
      <c r="C56" s="6">
        <f>177.28</f>
        <v>177.28</v>
      </c>
      <c r="D56" s="6">
        <f>188.36</f>
        <v>188.36</v>
      </c>
      <c r="E56" s="6">
        <f>241.4</f>
        <v>241.4</v>
      </c>
      <c r="F56" s="6">
        <v>213</v>
      </c>
      <c r="G56" s="6">
        <v>198.8</v>
      </c>
      <c r="H56" s="6">
        <v>142</v>
      </c>
      <c r="I56" s="6"/>
      <c r="J56" s="6">
        <f>71+156.2</f>
        <v>227.2</v>
      </c>
      <c r="K56" s="6"/>
      <c r="L56" s="6">
        <v>241.4</v>
      </c>
      <c r="M56" s="23">
        <f>284+284</f>
        <v>568</v>
      </c>
      <c r="N56" s="6">
        <f t="shared" si="3"/>
        <v>2197.44</v>
      </c>
    </row>
    <row r="57" spans="1:14" s="2" customFormat="1" ht="12.75">
      <c r="A57" s="22" t="s">
        <v>67</v>
      </c>
      <c r="B57" s="6">
        <f>6408.82</f>
        <v>6408.82</v>
      </c>
      <c r="C57" s="6">
        <f>7402.92</f>
        <v>7402.92</v>
      </c>
      <c r="D57" s="6">
        <f>6651.74</f>
        <v>6651.74</v>
      </c>
      <c r="E57" s="6">
        <f>4421.38</f>
        <v>4421.38</v>
      </c>
      <c r="F57" s="6">
        <v>4832.57</v>
      </c>
      <c r="G57" s="6">
        <f>3995.44</f>
        <v>3995.44</v>
      </c>
      <c r="H57" s="6">
        <v>72.5</v>
      </c>
      <c r="I57" s="6">
        <v>925.61</v>
      </c>
      <c r="J57" s="6">
        <v>5177.83</v>
      </c>
      <c r="K57" s="6">
        <f>7027.42+122.12</f>
        <v>7149.54</v>
      </c>
      <c r="L57" s="6">
        <f>8210.28+1.39</f>
        <v>8211.67</v>
      </c>
      <c r="M57" s="23">
        <v>6664.52</v>
      </c>
      <c r="N57" s="6">
        <f t="shared" si="3"/>
        <v>61914.54</v>
      </c>
    </row>
    <row r="58" spans="1:14" s="2" customFormat="1" ht="12.75">
      <c r="A58" s="19" t="s">
        <v>68</v>
      </c>
      <c r="B58" s="9"/>
      <c r="C58" s="9"/>
      <c r="D58" s="9"/>
      <c r="E58" s="9"/>
      <c r="F58" s="17">
        <v>200</v>
      </c>
      <c r="G58" s="9">
        <v>1029.24</v>
      </c>
      <c r="H58" s="9"/>
      <c r="I58" s="9"/>
      <c r="J58" s="9"/>
      <c r="K58" s="9"/>
      <c r="L58" s="9">
        <v>600</v>
      </c>
      <c r="M58" s="9"/>
      <c r="N58" s="9">
        <f t="shared" si="3"/>
        <v>1829.24</v>
      </c>
    </row>
    <row r="59" spans="1:14" s="2" customFormat="1" ht="12.75">
      <c r="A59" s="19" t="s">
        <v>69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17">
        <v>230</v>
      </c>
      <c r="M59" s="9"/>
      <c r="N59" s="9">
        <f t="shared" si="3"/>
        <v>230</v>
      </c>
    </row>
    <row r="60" spans="1:14" s="2" customFormat="1" ht="13.5">
      <c r="A60" s="5" t="s">
        <v>70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>
        <f>SUM(N61:N63)</f>
        <v>34253.29</v>
      </c>
    </row>
    <row r="61" spans="1:14" s="2" customFormat="1" ht="12.75">
      <c r="A61" s="8" t="s">
        <v>17</v>
      </c>
      <c r="B61" s="9"/>
      <c r="C61" s="9"/>
      <c r="D61" s="9"/>
      <c r="E61" s="9"/>
      <c r="F61" s="9"/>
      <c r="G61" s="9"/>
      <c r="H61" s="9"/>
      <c r="I61" s="9"/>
      <c r="J61" s="9"/>
      <c r="K61" s="9">
        <v>10325.12</v>
      </c>
      <c r="L61" s="9">
        <f>2683.8+3365.48</f>
        <v>6049.280000000001</v>
      </c>
      <c r="M61" s="11">
        <f>2683.8+1711.72</f>
        <v>4395.52</v>
      </c>
      <c r="N61" s="9">
        <f aca="true" t="shared" si="4" ref="N61:N63">SUM(B61:M61)</f>
        <v>20769.920000000002</v>
      </c>
    </row>
    <row r="62" spans="1:14" s="2" customFormat="1" ht="25.5">
      <c r="A62" s="8" t="s">
        <v>18</v>
      </c>
      <c r="B62" s="9"/>
      <c r="C62" s="9"/>
      <c r="D62" s="9"/>
      <c r="E62" s="9"/>
      <c r="F62" s="9"/>
      <c r="G62" s="9"/>
      <c r="H62" s="9"/>
      <c r="I62" s="9"/>
      <c r="J62" s="9"/>
      <c r="K62" s="9">
        <v>2271.52</v>
      </c>
      <c r="L62" s="9">
        <f>590.44+740.4</f>
        <v>1330.8400000000001</v>
      </c>
      <c r="M62" s="11">
        <f>590.44+376.57</f>
        <v>967.01</v>
      </c>
      <c r="N62" s="9">
        <f t="shared" si="4"/>
        <v>4569.370000000001</v>
      </c>
    </row>
    <row r="63" spans="1:14" s="2" customFormat="1" ht="12.75">
      <c r="A63" s="19" t="s">
        <v>71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3962.7</v>
      </c>
      <c r="M63" s="11">
        <v>4951.3</v>
      </c>
      <c r="N63" s="9">
        <f t="shared" si="4"/>
        <v>8914</v>
      </c>
    </row>
    <row r="64" spans="1:14" s="2" customFormat="1" ht="13.5">
      <c r="A64" s="5" t="s">
        <v>72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>
        <f>SUM(N65:N67)</f>
        <v>138703.78999999998</v>
      </c>
    </row>
    <row r="65" spans="1:14" s="2" customFormat="1" ht="12.75">
      <c r="A65" s="8" t="s">
        <v>17</v>
      </c>
      <c r="B65" s="9"/>
      <c r="C65" s="9"/>
      <c r="D65" s="9"/>
      <c r="E65" s="9">
        <f>4586.4+15708.34</f>
        <v>20294.739999999998</v>
      </c>
      <c r="F65" s="9">
        <f>4586.4+5813.6</f>
        <v>10400</v>
      </c>
      <c r="G65" s="9">
        <f>4586.4+5813.6</f>
        <v>10400</v>
      </c>
      <c r="H65" s="9">
        <f>10893.03+800</f>
        <v>11693.03</v>
      </c>
      <c r="I65" s="9">
        <v>6472.73</v>
      </c>
      <c r="J65" s="9">
        <v>3139.5</v>
      </c>
      <c r="K65" s="9"/>
      <c r="L65" s="9">
        <f>4233.6+5366.4</f>
        <v>9600</v>
      </c>
      <c r="M65" s="11">
        <f>1411.2+1788.8</f>
        <v>3200</v>
      </c>
      <c r="N65" s="9">
        <f aca="true" t="shared" si="5" ref="N65:N67">SUM(B65:M65)</f>
        <v>75200</v>
      </c>
    </row>
    <row r="66" spans="1:14" s="2" customFormat="1" ht="25.5">
      <c r="A66" s="8" t="s">
        <v>18</v>
      </c>
      <c r="B66" s="9"/>
      <c r="C66" s="9"/>
      <c r="D66" s="9"/>
      <c r="E66" s="9">
        <f>1009.01+3455.83</f>
        <v>4464.84</v>
      </c>
      <c r="F66" s="9">
        <f>1009.01+1278.99</f>
        <v>2288</v>
      </c>
      <c r="G66" s="9">
        <f>1009.01+1278.99</f>
        <v>2288</v>
      </c>
      <c r="H66" s="9">
        <f>2396.47+176</f>
        <v>2572.47</v>
      </c>
      <c r="I66" s="9">
        <v>1424</v>
      </c>
      <c r="J66" s="9">
        <v>690.69</v>
      </c>
      <c r="K66" s="9"/>
      <c r="L66" s="9"/>
      <c r="M66" s="12"/>
      <c r="N66" s="9">
        <f t="shared" si="5"/>
        <v>13728</v>
      </c>
    </row>
    <row r="67" spans="1:14" s="2" customFormat="1" ht="17.25" customHeight="1">
      <c r="A67" s="8" t="s">
        <v>49</v>
      </c>
      <c r="B67" s="9"/>
      <c r="C67" s="9"/>
      <c r="D67" s="17">
        <f>816.61+3260.08</f>
        <v>4076.69</v>
      </c>
      <c r="E67" s="17">
        <f>4907.32</f>
        <v>4907.32</v>
      </c>
      <c r="F67" s="17">
        <f>4221.38+1874.27</f>
        <v>6095.65</v>
      </c>
      <c r="G67" s="17">
        <v>3753.13</v>
      </c>
      <c r="H67" s="9"/>
      <c r="I67" s="9"/>
      <c r="J67" s="17">
        <f>8677.04-603.69</f>
        <v>8073.35</v>
      </c>
      <c r="K67" s="17">
        <v>603.69</v>
      </c>
      <c r="L67" s="17">
        <f>8133.35+1294.42</f>
        <v>9427.77</v>
      </c>
      <c r="M67" s="24">
        <f>2553.72+6805.15+3269.42+209.9</f>
        <v>12838.189999999999</v>
      </c>
      <c r="N67" s="9">
        <f t="shared" si="5"/>
        <v>49775.78999999999</v>
      </c>
    </row>
    <row r="68" spans="1:14" s="2" customFormat="1" ht="18.75">
      <c r="A68" s="4" t="s">
        <v>73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2" customFormat="1" ht="25.5">
      <c r="A69" s="13" t="s">
        <v>20</v>
      </c>
      <c r="B69" s="9">
        <f>SUM(B70:B71)</f>
        <v>0</v>
      </c>
      <c r="C69" s="9">
        <f>SUM(C70:C71)</f>
        <v>0</v>
      </c>
      <c r="D69" s="9">
        <f>SUM(D70:D71)</f>
        <v>0</v>
      </c>
      <c r="E69" s="9">
        <f>SUM(E70:E71)</f>
        <v>0</v>
      </c>
      <c r="F69" s="9">
        <f>SUM(F70:F71)</f>
        <v>0</v>
      </c>
      <c r="G69" s="9">
        <f>SUM(G70:G71)</f>
        <v>900</v>
      </c>
      <c r="H69" s="9">
        <f>SUM(H70:H71)</f>
        <v>0</v>
      </c>
      <c r="I69" s="9">
        <f>SUM(I70:I71)</f>
        <v>0</v>
      </c>
      <c r="J69" s="9">
        <f>SUM(J70:J71)</f>
        <v>0</v>
      </c>
      <c r="K69" s="9">
        <f>SUM(K70:K71)</f>
        <v>0</v>
      </c>
      <c r="L69" s="9">
        <f>SUM(L70:L71)</f>
        <v>0</v>
      </c>
      <c r="M69" s="9">
        <f>SUM(M70:M71)</f>
        <v>600</v>
      </c>
      <c r="N69" s="9">
        <f>SUM(N70:N71)</f>
        <v>1500</v>
      </c>
    </row>
    <row r="70" spans="1:14" s="2" customFormat="1" ht="12.75">
      <c r="A70" s="14" t="s">
        <v>36</v>
      </c>
      <c r="B70" s="15"/>
      <c r="C70" s="6"/>
      <c r="D70" s="6"/>
      <c r="E70" s="6"/>
      <c r="F70" s="6"/>
      <c r="G70" s="6">
        <v>900</v>
      </c>
      <c r="H70" s="6"/>
      <c r="I70" s="6"/>
      <c r="J70" s="6"/>
      <c r="K70" s="6"/>
      <c r="L70" s="6"/>
      <c r="M70" s="6"/>
      <c r="N70" s="6">
        <f aca="true" t="shared" si="6" ref="N70:N72">SUM(B70:M70)</f>
        <v>900</v>
      </c>
    </row>
    <row r="71" spans="1:14" s="2" customFormat="1" ht="13.5" customHeight="1">
      <c r="A71" s="14" t="s">
        <v>21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>
        <v>600</v>
      </c>
      <c r="N71" s="6">
        <f t="shared" si="6"/>
        <v>600</v>
      </c>
    </row>
    <row r="72" spans="1:14" s="2" customFormat="1" ht="17.25" customHeight="1">
      <c r="A72" s="8" t="s">
        <v>49</v>
      </c>
      <c r="B72" s="9"/>
      <c r="C72" s="9"/>
      <c r="D72" s="17"/>
      <c r="E72" s="17"/>
      <c r="F72" s="17"/>
      <c r="G72" s="17"/>
      <c r="H72" s="9"/>
      <c r="I72" s="9"/>
      <c r="J72" s="17"/>
      <c r="K72" s="17"/>
      <c r="L72" s="17"/>
      <c r="M72" s="25">
        <v>3000</v>
      </c>
      <c r="N72" s="9">
        <f t="shared" si="6"/>
        <v>3000</v>
      </c>
    </row>
    <row r="73" spans="1:14" s="2" customFormat="1" ht="24.75" customHeight="1">
      <c r="A73" s="26" t="s">
        <v>74</v>
      </c>
      <c r="B73" s="9">
        <f>SUM(B74:B74)</f>
        <v>0</v>
      </c>
      <c r="C73" s="9">
        <f>SUM(C74:C74)</f>
        <v>0</v>
      </c>
      <c r="D73" s="9">
        <f>SUM(D74:D74)</f>
        <v>0</v>
      </c>
      <c r="E73" s="9">
        <f>SUM(E74:E74)</f>
        <v>0</v>
      </c>
      <c r="F73" s="9">
        <f>SUM(F74:F74)</f>
        <v>0</v>
      </c>
      <c r="G73" s="9">
        <f>SUM(G74:G74)</f>
        <v>0</v>
      </c>
      <c r="H73" s="9">
        <f>SUM(H74:H74)</f>
        <v>0</v>
      </c>
      <c r="I73" s="9">
        <f>SUM(I74:I74)</f>
        <v>0</v>
      </c>
      <c r="J73" s="9">
        <f>SUM(J74:J74)</f>
        <v>0</v>
      </c>
      <c r="K73" s="9">
        <f>SUM(K74:K74)</f>
        <v>0</v>
      </c>
      <c r="L73" s="9">
        <f>SUM(L74:L74)</f>
        <v>0</v>
      </c>
      <c r="M73" s="9">
        <f>SUM(M74:M74)</f>
        <v>1724000</v>
      </c>
      <c r="N73" s="9">
        <f>SUM(N74:N74)</f>
        <v>1724000</v>
      </c>
    </row>
    <row r="74" spans="1:14" s="2" customFormat="1" ht="12.75">
      <c r="A74" s="16" t="s">
        <v>75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>
        <v>1724000</v>
      </c>
      <c r="N74" s="6">
        <f>SUM(B74:M74)</f>
        <v>1724000</v>
      </c>
    </row>
    <row r="75" spans="1:14" s="2" customFormat="1" ht="25.5">
      <c r="A75" s="27" t="s">
        <v>76</v>
      </c>
      <c r="B75" s="9">
        <f>SUM(B76:B80)</f>
        <v>0</v>
      </c>
      <c r="C75" s="9">
        <f>SUM(C76:C80)</f>
        <v>0</v>
      </c>
      <c r="D75" s="9">
        <f>SUM(D76:D80)</f>
        <v>0</v>
      </c>
      <c r="E75" s="9">
        <f>SUM(E76:E80)</f>
        <v>0</v>
      </c>
      <c r="F75" s="9">
        <f>SUM(F76:F80)</f>
        <v>0</v>
      </c>
      <c r="G75" s="9">
        <f>SUM(G76:G80)</f>
        <v>0</v>
      </c>
      <c r="H75" s="9">
        <f>SUM(H76:H80)</f>
        <v>0</v>
      </c>
      <c r="I75" s="9">
        <f>SUM(I76:I80)</f>
        <v>0</v>
      </c>
      <c r="J75" s="9">
        <f>SUM(J76:J80)</f>
        <v>0</v>
      </c>
      <c r="K75" s="9">
        <f>SUM(K76:K80)</f>
        <v>0</v>
      </c>
      <c r="L75" s="9">
        <f>SUM(L76:L80)</f>
        <v>36176.08</v>
      </c>
      <c r="M75" s="9">
        <f>SUM(M76:M80)</f>
        <v>37366.92</v>
      </c>
      <c r="N75" s="9">
        <f>SUM(N76:N80)</f>
        <v>73543</v>
      </c>
    </row>
    <row r="76" spans="1:14" s="2" customFormat="1" ht="63.75">
      <c r="A76" s="16" t="s">
        <v>77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>
        <v>13743</v>
      </c>
      <c r="M76" s="6"/>
      <c r="N76" s="6">
        <f aca="true" t="shared" si="7" ref="N76:N80">SUM(B76:M76)</f>
        <v>13743</v>
      </c>
    </row>
    <row r="77" spans="1:14" s="2" customFormat="1" ht="38.25">
      <c r="A77" s="16" t="s">
        <v>78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>
        <v>14712.82</v>
      </c>
      <c r="M77" s="6">
        <v>34329.92</v>
      </c>
      <c r="N77" s="6">
        <f t="shared" si="7"/>
        <v>49042.74</v>
      </c>
    </row>
    <row r="78" spans="1:14" s="2" customFormat="1" ht="25.5">
      <c r="A78" s="16" t="s">
        <v>79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>
        <v>6100.26</v>
      </c>
      <c r="M78" s="6"/>
      <c r="N78" s="6">
        <f t="shared" si="7"/>
        <v>6100.26</v>
      </c>
    </row>
    <row r="79" spans="1:14" s="2" customFormat="1" ht="25.5">
      <c r="A79" s="16" t="s">
        <v>80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>
        <v>1620</v>
      </c>
      <c r="M79" s="6"/>
      <c r="N79" s="6">
        <f t="shared" si="7"/>
        <v>1620</v>
      </c>
    </row>
    <row r="80" spans="1:14" s="2" customFormat="1" ht="25.5">
      <c r="A80" s="16" t="s">
        <v>81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>
        <v>3037</v>
      </c>
      <c r="N80" s="6">
        <f t="shared" si="7"/>
        <v>3037</v>
      </c>
    </row>
  </sheetData>
  <sheetProtection selectLockedCells="1" selectUnlockedCells="1"/>
  <mergeCells count="3">
    <mergeCell ref="A1:N1"/>
    <mergeCell ref="A3:N3"/>
    <mergeCell ref="A68:N68"/>
  </mergeCells>
  <printOptions/>
  <pageMargins left="0" right="0" top="0" bottom="0" header="0.5118055555555555" footer="0.5118055555555555"/>
  <pageSetup horizontalDpi="300" verticalDpi="300" orientation="landscape" paperSize="9" scale="93"/>
  <rowBreaks count="2" manualBreakCount="2">
    <brk id="3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user</cp:lastModifiedBy>
  <cp:lastPrinted>2017-12-22T13:52:51Z</cp:lastPrinted>
  <dcterms:created xsi:type="dcterms:W3CDTF">2017-12-15T09:22:33Z</dcterms:created>
  <dcterms:modified xsi:type="dcterms:W3CDTF">2017-12-25T10:13:20Z</dcterms:modified>
  <cp:category/>
  <cp:version/>
  <cp:contentType/>
  <cp:contentStatus/>
</cp:coreProperties>
</file>