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ЗСО" sheetId="1" r:id="rId1"/>
  </sheets>
  <definedNames>
    <definedName name="_xlnm.Print_Area" localSheetId="0">'ЗЗСО'!$A$1:$N$205</definedName>
  </definedNames>
  <calcPr fullCalcOnLoad="1"/>
</workbook>
</file>

<file path=xl/sharedStrings.xml><?xml version="1.0" encoding="utf-8"?>
<sst xmlns="http://schemas.openxmlformats.org/spreadsheetml/2006/main" count="229" uniqueCount="180">
  <si>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</si>
  <si>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</si>
  <si>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</si>
  <si>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</si>
  <si>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</si>
  <si>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</si>
  <si>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</si>
  <si>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</si>
  <si>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</si>
  <si>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</si>
  <si>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</si>
  <si>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</si>
  <si>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</si>
  <si>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</si>
  <si>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2111-заробітна плата</t>
  </si>
  <si>
    <t>дизпаливо</t>
  </si>
  <si>
    <t>2230-продукти харчув.</t>
  </si>
  <si>
    <t>2240-оплата послуг:</t>
  </si>
  <si>
    <t>сигналізація</t>
  </si>
  <si>
    <t>доставка підручників</t>
  </si>
  <si>
    <t>2270-оплата комунальних послуг та енергоносіїв:</t>
  </si>
  <si>
    <t>2271-теплопостачання</t>
  </si>
  <si>
    <t>2272-водопостачання</t>
  </si>
  <si>
    <t>2273-електроенергія</t>
  </si>
  <si>
    <t>Бухгалтер</t>
  </si>
  <si>
    <t>О.Г.Бойко</t>
  </si>
  <si>
    <t>2120-нарах.на заробітну плату</t>
  </si>
  <si>
    <t>2210-предм.,матер.,обладн.та інвентар:</t>
  </si>
  <si>
    <t>2220-медикаменти та деззасоби</t>
  </si>
  <si>
    <t>страх.водія та автобуса</t>
  </si>
  <si>
    <t>заправка картриджа</t>
  </si>
  <si>
    <t xml:space="preserve"> Касові видатки по Андріївському різнопрофільному ЗЗСО за 2021 рік</t>
  </si>
  <si>
    <t>0211031 - Освітня субвенція</t>
  </si>
  <si>
    <t>0211200 - Інклюзія</t>
  </si>
  <si>
    <t>0211021 - Місцевий бюджет</t>
  </si>
  <si>
    <t>Загальний фонд</t>
  </si>
  <si>
    <t>Спеціальний фонд</t>
  </si>
  <si>
    <t>Шпалери</t>
  </si>
  <si>
    <t>Клей</t>
  </si>
  <si>
    <t>Фільонка</t>
  </si>
  <si>
    <t>Шпаклівка 5 кг</t>
  </si>
  <si>
    <t>Заглушка</t>
  </si>
  <si>
    <t>Сальвент</t>
  </si>
  <si>
    <t>Саморіз 89 мм</t>
  </si>
  <si>
    <t>Шайба 5 мм</t>
  </si>
  <si>
    <t>Рембукса комп.</t>
  </si>
  <si>
    <t>Холодна зварка</t>
  </si>
  <si>
    <t>Свердло</t>
  </si>
  <si>
    <t>Круг відрізний</t>
  </si>
  <si>
    <t>Уголок № 20</t>
  </si>
  <si>
    <t>Плівка</t>
  </si>
  <si>
    <t>Гвіздом 25 мм</t>
  </si>
  <si>
    <t>Клей «Глуткол»</t>
  </si>
  <si>
    <t>Клей «Моменталь»</t>
  </si>
  <si>
    <t>Лезо для кон.ножа</t>
  </si>
  <si>
    <t>Коліно+резинка</t>
  </si>
  <si>
    <t>Шпаклівка  «Фініш» 10 кг</t>
  </si>
  <si>
    <t>Шпаклівка «Старт» 10 кг</t>
  </si>
  <si>
    <t>Дюбель 6х50 уп.</t>
  </si>
  <si>
    <t>Маркер</t>
  </si>
  <si>
    <t>Коректор</t>
  </si>
  <si>
    <t>Полі роль</t>
  </si>
  <si>
    <t>Для скла курок</t>
  </si>
  <si>
    <t>Для скла запас</t>
  </si>
  <si>
    <t>Йоршик для унітазу</t>
  </si>
  <si>
    <t>Міло рідке 5 л.</t>
  </si>
  <si>
    <t>Лампочка 100</t>
  </si>
  <si>
    <t>Сарма для посуди</t>
  </si>
  <si>
    <t>Серветки вологі уп.</t>
  </si>
  <si>
    <t>Засіб КЗІ «SecureToken-337M»</t>
  </si>
  <si>
    <t>телефон</t>
  </si>
  <si>
    <t>курс Школа</t>
  </si>
  <si>
    <t>ТО автобуса</t>
  </si>
  <si>
    <t>2800-статут</t>
  </si>
  <si>
    <t>Багет</t>
  </si>
  <si>
    <t>Саморіз</t>
  </si>
  <si>
    <t>Доводчик</t>
  </si>
  <si>
    <t>Короб</t>
  </si>
  <si>
    <t>Болт 6*50</t>
  </si>
  <si>
    <t>Сморіз 100</t>
  </si>
  <si>
    <t>Саморіз 55</t>
  </si>
  <si>
    <t>Саморіз 32</t>
  </si>
  <si>
    <t>Угол ПВХ</t>
  </si>
  <si>
    <t>Йоршик для посуду</t>
  </si>
  <si>
    <t>Губка для посуду</t>
  </si>
  <si>
    <t>Солд</t>
  </si>
  <si>
    <t>Держак</t>
  </si>
  <si>
    <t>Граблі</t>
  </si>
  <si>
    <t>Фарба радіаторна</t>
  </si>
  <si>
    <t>Резинка з фільтр.мотокоси</t>
  </si>
  <si>
    <t>Шпалери акрилові</t>
  </si>
  <si>
    <t>Виконавець</t>
  </si>
  <si>
    <t>витрати для шкіл.автобуса</t>
  </si>
  <si>
    <t>заземлення</t>
  </si>
  <si>
    <t>питна вода</t>
  </si>
  <si>
    <t>господарські товари</t>
  </si>
  <si>
    <t>дератизація</t>
  </si>
  <si>
    <t>2275-ТПВ</t>
  </si>
  <si>
    <t>0211061 - Залишки осв.субвенції</t>
  </si>
  <si>
    <t>Стіл учн.і стілець (комплект)</t>
  </si>
  <si>
    <t>Пуф</t>
  </si>
  <si>
    <t xml:space="preserve">Стіл для вчителя </t>
  </si>
  <si>
    <t>Шафа для зберігання дид. матеріалу «Школа-Сад»</t>
  </si>
  <si>
    <t>Морозильна скриня</t>
  </si>
  <si>
    <t>Водонагрівач накопичувальний</t>
  </si>
  <si>
    <t>2240-встановл.пож.сигнал.</t>
  </si>
  <si>
    <t>3110-придб.обладн.і предм. довгостроков.користув.:</t>
  </si>
  <si>
    <t>Мультимедійний проектор</t>
  </si>
  <si>
    <t>3132-капіт.ремонт(заміна вікон)</t>
  </si>
  <si>
    <t>0211181 - НУШ співфінанс.10%</t>
  </si>
  <si>
    <t>Дидактика</t>
  </si>
  <si>
    <t>Дошка коркова</t>
  </si>
  <si>
    <t>Фліпчарт комбінований</t>
  </si>
  <si>
    <t>3110-ноутбук з ПЗ</t>
  </si>
  <si>
    <t xml:space="preserve">0211182 - НУШ </t>
  </si>
  <si>
    <t>2210-канцтовари(залишки)</t>
  </si>
  <si>
    <t>канцтовари</t>
  </si>
  <si>
    <t>новорічні подарунки</t>
  </si>
  <si>
    <t>держпрожспоживслужба</t>
  </si>
  <si>
    <t>перезарядка вогнегасників</t>
  </si>
  <si>
    <t>ремонт теплового лічильника</t>
  </si>
  <si>
    <t>2730-страхування</t>
  </si>
  <si>
    <t>3110-мультимедійний комплекс</t>
  </si>
  <si>
    <t>Інтерактивна дошка</t>
  </si>
  <si>
    <t>Проектор короткофокусний</t>
  </si>
  <si>
    <t>Проектор</t>
  </si>
  <si>
    <t>БФП</t>
  </si>
  <si>
    <t>2282-навчання</t>
  </si>
  <si>
    <t>Леска для тример.</t>
  </si>
  <si>
    <t>Герметик</t>
  </si>
  <si>
    <t>Маска</t>
  </si>
  <si>
    <t>Карбюратор</t>
  </si>
  <si>
    <t>Клей для плитки</t>
  </si>
  <si>
    <t>Сітка арм.</t>
  </si>
  <si>
    <t>Муфта</t>
  </si>
  <si>
    <t>Шпатель</t>
  </si>
  <si>
    <t>Щітка</t>
  </si>
  <si>
    <t>Фарба</t>
  </si>
  <si>
    <t>Фарба біла 2,8 кг</t>
  </si>
  <si>
    <t>Валик + ручка</t>
  </si>
  <si>
    <t>Валик</t>
  </si>
  <si>
    <t>Полотно по металу</t>
  </si>
  <si>
    <t>Рейка 20х40</t>
  </si>
  <si>
    <t>Фарба для підлоги</t>
  </si>
  <si>
    <t>Фарба біла</t>
  </si>
  <si>
    <t>Електроди</t>
  </si>
  <si>
    <t xml:space="preserve">Миючий засіб для скла </t>
  </si>
  <si>
    <t>Сарма для унітазу</t>
  </si>
  <si>
    <t>Миючий засіб для скла</t>
  </si>
  <si>
    <t>Совок</t>
  </si>
  <si>
    <t>2240-оплата послуг (крім комуннальних):</t>
  </si>
  <si>
    <t>юридичні послуги</t>
  </si>
  <si>
    <t>Масло 2Т</t>
  </si>
  <si>
    <t>Скотч</t>
  </si>
  <si>
    <t>Дюбель</t>
  </si>
  <si>
    <t>Розетка</t>
  </si>
  <si>
    <t>Шуруповерт</t>
  </si>
  <si>
    <t>Кран</t>
  </si>
  <si>
    <t>Ніпель</t>
  </si>
  <si>
    <t>Ізоляційна стрічка</t>
  </si>
  <si>
    <t>Фум-стрічка</t>
  </si>
  <si>
    <t>Біта</t>
  </si>
  <si>
    <t>Пробка</t>
  </si>
  <si>
    <t>Кабель</t>
  </si>
  <si>
    <t>Кабель канал</t>
  </si>
  <si>
    <t>Гвіздок декор.</t>
  </si>
  <si>
    <t>Фарба червона</t>
  </si>
  <si>
    <t>Цемент 5 кг</t>
  </si>
  <si>
    <t>Рейка 40х40</t>
  </si>
  <si>
    <t>Труба</t>
  </si>
  <si>
    <t>Розетка подвійна</t>
  </si>
  <si>
    <t>Диск відрізний 125</t>
  </si>
  <si>
    <t>Гайка М 10</t>
  </si>
  <si>
    <t>Холодна зварка мал.</t>
  </si>
  <si>
    <t>Вапно 3 кг</t>
  </si>
  <si>
    <t>Диск відрізний 180</t>
  </si>
  <si>
    <t>Отрута для щурів</t>
  </si>
  <si>
    <t>Гранули від мишей</t>
  </si>
  <si>
    <t>3110-предмети та обладнання довгострокового користування:</t>
  </si>
  <si>
    <t>підручники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</si>
</sst>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29">
    <font>
      <sz val="10"/>
      <name val="Arial Cyr"/>
      <family val="0"/>
    </font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4" fillId="18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18" borderId="10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right" wrapText="1"/>
    </xf>
    <xf numFmtId="2" fontId="4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view="pageBreakPreview" zoomScale="60" zoomScalePageLayoutView="0" workbookViewId="0" topLeftCell="A16">
      <selection activeCell="G52" sqref="G52"/>
    </sheetView>
  </sheetViews>
  <sheetFormatPr defaultColWidth="9.00390625" defaultRowHeight="12.75"/>
  <cols>
    <col min="1" max="1" width="27.375" style="0" customWidth="1"/>
    <col min="2" max="2" width="10.125" style="0" bestFit="1" customWidth="1"/>
    <col min="3" max="3" width="10.00390625" style="0" customWidth="1"/>
    <col min="4" max="10" width="11.125" style="0" bestFit="1" customWidth="1"/>
    <col min="11" max="11" width="10.00390625" style="0" customWidth="1"/>
    <col min="12" max="13" width="11.125" style="0" bestFit="1" customWidth="1"/>
    <col min="14" max="14" width="11.625" style="0" customWidth="1"/>
  </cols>
  <sheetData>
    <row r="1" spans="1:14" s="1" customFormat="1" ht="25.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25.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1" customFormat="1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s="1" customFormat="1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1" customFormat="1" ht="13.5">
      <c r="A5" s="24" t="s">
        <v>32</v>
      </c>
      <c r="B5" s="18">
        <f>SUM(B6:B7)</f>
        <v>472811</v>
      </c>
      <c r="C5" s="18">
        <f aca="true" t="shared" si="0" ref="C5:M5">SUM(C6:C7)</f>
        <v>519595.52</v>
      </c>
      <c r="D5" s="18">
        <f t="shared" si="0"/>
        <v>541861.53</v>
      </c>
      <c r="E5" s="18">
        <f t="shared" si="0"/>
        <v>486970.52</v>
      </c>
      <c r="F5" s="18">
        <f t="shared" si="0"/>
        <v>544497.11</v>
      </c>
      <c r="G5" s="18">
        <f t="shared" si="0"/>
        <v>1473176.8399999999</v>
      </c>
      <c r="H5" s="18">
        <f t="shared" si="0"/>
        <v>0</v>
      </c>
      <c r="I5" s="18">
        <f t="shared" si="0"/>
        <v>232938.3</v>
      </c>
      <c r="J5" s="18">
        <f t="shared" si="0"/>
        <v>712288.67</v>
      </c>
      <c r="K5" s="18">
        <f t="shared" si="0"/>
        <v>544450.83</v>
      </c>
      <c r="L5" s="18">
        <f t="shared" si="0"/>
        <v>533601.58</v>
      </c>
      <c r="M5" s="18">
        <f t="shared" si="0"/>
        <v>748207.48</v>
      </c>
      <c r="N5" s="22">
        <f>SUM(N6:N7)</f>
        <v>6810399.380000002</v>
      </c>
    </row>
    <row r="6" spans="1:14" s="1" customFormat="1" ht="12.75">
      <c r="A6" s="3" t="s">
        <v>14</v>
      </c>
      <c r="B6" s="16">
        <v>387550</v>
      </c>
      <c r="C6" s="16">
        <f>187738.4+238209.86</f>
        <v>425948.26</v>
      </c>
      <c r="D6" s="16">
        <f>167624.1+272861.34</f>
        <v>440485.44000000006</v>
      </c>
      <c r="E6" s="41">
        <f>178800.3+213514.39</f>
        <v>392314.69</v>
      </c>
      <c r="F6" s="41">
        <f>176475.6+266146.17</f>
        <v>442621.77</v>
      </c>
      <c r="G6" s="42">
        <f>820946.7+386367.42</f>
        <v>1207314.1199999999</v>
      </c>
      <c r="H6" s="45"/>
      <c r="I6" s="45">
        <f>22666.61+163818.57</f>
        <v>186485.18</v>
      </c>
      <c r="J6" s="45">
        <f>194827.82+386936.69</f>
        <v>581764.51</v>
      </c>
      <c r="K6" s="45">
        <f>194116.14+7577.9+245882.9</f>
        <v>447576.94</v>
      </c>
      <c r="L6" s="45">
        <f>190896.3+247121.31</f>
        <v>438017.61</v>
      </c>
      <c r="M6" s="47">
        <f>209764.8+404615.73</f>
        <v>614380.53</v>
      </c>
      <c r="N6" s="19">
        <f>SUM(B6:M6)</f>
        <v>5564459.050000002</v>
      </c>
    </row>
    <row r="7" spans="1:14" s="1" customFormat="1" ht="12.75">
      <c r="A7" s="3" t="s">
        <v>26</v>
      </c>
      <c r="B7" s="16">
        <v>85261</v>
      </c>
      <c r="C7" s="16">
        <f>41258.45+52388.81</f>
        <v>93647.26</v>
      </c>
      <c r="D7" s="16">
        <f>36877.3+64498.79</f>
        <v>101376.09</v>
      </c>
      <c r="E7" s="41">
        <f>39336.07+55319.76</f>
        <v>94655.83</v>
      </c>
      <c r="F7" s="41">
        <f>38824.63+63050.71</f>
        <v>101875.34</v>
      </c>
      <c r="G7" s="41">
        <f>180608.27+81531.39+3723.06</f>
        <v>265862.72</v>
      </c>
      <c r="H7" s="45"/>
      <c r="I7" s="45">
        <f>4986.65+41466.47</f>
        <v>46453.12</v>
      </c>
      <c r="J7" s="45">
        <f>42862.12+87662.04</f>
        <v>130524.16</v>
      </c>
      <c r="K7" s="45">
        <f>63073.16+1667.14+32133.59</f>
        <v>96873.89</v>
      </c>
      <c r="L7" s="45">
        <f>41997.19+53586.78</f>
        <v>95583.97</v>
      </c>
      <c r="M7" s="47">
        <f>46148.26+87678.69</f>
        <v>133826.95</v>
      </c>
      <c r="N7" s="19">
        <f>SUM(B7:M7)</f>
        <v>1245940.33</v>
      </c>
    </row>
    <row r="8" spans="1:14" s="1" customFormat="1" ht="14.25" customHeight="1">
      <c r="A8" s="26" t="s">
        <v>33</v>
      </c>
      <c r="B8" s="20">
        <f>SUM(B9:B12)</f>
        <v>2964</v>
      </c>
      <c r="C8" s="20">
        <f aca="true" t="shared" si="1" ref="C8:N8">SUM(C9:C12)</f>
        <v>2845.7200000000003</v>
      </c>
      <c r="D8" s="20">
        <f t="shared" si="1"/>
        <v>2990.32</v>
      </c>
      <c r="E8" s="20">
        <f t="shared" si="1"/>
        <v>4131.0599999999995</v>
      </c>
      <c r="F8" s="20">
        <f t="shared" si="1"/>
        <v>3204.27</v>
      </c>
      <c r="G8" s="20">
        <f t="shared" si="1"/>
        <v>5903.0599999999995</v>
      </c>
      <c r="H8" s="20">
        <f t="shared" si="1"/>
        <v>0</v>
      </c>
      <c r="I8" s="20">
        <f t="shared" si="1"/>
        <v>0</v>
      </c>
      <c r="J8" s="20">
        <f t="shared" si="1"/>
        <v>9170.22</v>
      </c>
      <c r="K8" s="20">
        <f t="shared" si="1"/>
        <v>3355.77</v>
      </c>
      <c r="L8" s="20">
        <f t="shared" si="1"/>
        <v>3200.7200000000003</v>
      </c>
      <c r="M8" s="20">
        <f t="shared" si="1"/>
        <v>46221.87</v>
      </c>
      <c r="N8" s="20">
        <f t="shared" si="1"/>
        <v>83987.01000000001</v>
      </c>
    </row>
    <row r="9" spans="1:14" s="1" customFormat="1" ht="12.75">
      <c r="A9" s="3" t="s">
        <v>14</v>
      </c>
      <c r="B9" s="16">
        <v>2430</v>
      </c>
      <c r="C9" s="16">
        <v>2333.05</v>
      </c>
      <c r="D9" s="16">
        <v>2451.07</v>
      </c>
      <c r="E9" s="41">
        <v>3386.1</v>
      </c>
      <c r="F9" s="41">
        <v>2626.44</v>
      </c>
      <c r="G9" s="17">
        <v>4838.57</v>
      </c>
      <c r="H9" s="19"/>
      <c r="I9" s="19"/>
      <c r="J9" s="45">
        <v>7516.58</v>
      </c>
      <c r="K9" s="45">
        <v>2750.63</v>
      </c>
      <c r="L9" s="45">
        <v>2623.55</v>
      </c>
      <c r="M9" s="47">
        <v>2567.2</v>
      </c>
      <c r="N9" s="19">
        <f>SUM(B9:M9)</f>
        <v>33523.19</v>
      </c>
    </row>
    <row r="10" spans="1:14" s="1" customFormat="1" ht="12.75">
      <c r="A10" s="3" t="s">
        <v>26</v>
      </c>
      <c r="B10" s="16">
        <v>534</v>
      </c>
      <c r="C10" s="16">
        <v>512.67</v>
      </c>
      <c r="D10" s="16">
        <v>539.25</v>
      </c>
      <c r="E10" s="41">
        <v>744.96</v>
      </c>
      <c r="F10" s="41">
        <v>577.83</v>
      </c>
      <c r="G10" s="16">
        <v>1064.49</v>
      </c>
      <c r="H10" s="19"/>
      <c r="I10" s="19"/>
      <c r="J10" s="45">
        <v>1653.64</v>
      </c>
      <c r="K10" s="45">
        <v>605.14</v>
      </c>
      <c r="L10" s="45">
        <v>577.17</v>
      </c>
      <c r="M10" s="47">
        <v>564.79</v>
      </c>
      <c r="N10" s="19">
        <f>SUM(B10:M10)</f>
        <v>7373.9400000000005</v>
      </c>
    </row>
    <row r="11" spans="1:14" s="1" customFormat="1" ht="12.75">
      <c r="A11" s="3" t="s">
        <v>115</v>
      </c>
      <c r="B11" s="16"/>
      <c r="C11" s="16"/>
      <c r="D11" s="16"/>
      <c r="E11" s="41"/>
      <c r="F11" s="41"/>
      <c r="G11" s="17"/>
      <c r="H11" s="19"/>
      <c r="I11" s="19"/>
      <c r="J11" s="45"/>
      <c r="K11" s="16"/>
      <c r="L11" s="16"/>
      <c r="M11" s="53">
        <v>22989.88</v>
      </c>
      <c r="N11" s="19">
        <f>SUM(B11:M11)</f>
        <v>22989.88</v>
      </c>
    </row>
    <row r="12" spans="1:14" s="1" customFormat="1" ht="12.75">
      <c r="A12" s="3" t="s">
        <v>113</v>
      </c>
      <c r="B12" s="16"/>
      <c r="C12" s="16"/>
      <c r="D12" s="16"/>
      <c r="E12" s="41"/>
      <c r="F12" s="41"/>
      <c r="G12" s="16"/>
      <c r="H12" s="19"/>
      <c r="I12" s="19"/>
      <c r="J12" s="45"/>
      <c r="K12" s="16"/>
      <c r="L12" s="16"/>
      <c r="M12" s="21">
        <v>20100</v>
      </c>
      <c r="N12" s="19">
        <f>SUM(B12:M12)</f>
        <v>20100</v>
      </c>
    </row>
    <row r="13" spans="1:14" s="1" customFormat="1" ht="13.5">
      <c r="A13" s="25" t="s">
        <v>34</v>
      </c>
      <c r="B13" s="18">
        <f>B14+B15+B16+B23+B24+B25+B38+B45</f>
        <v>159370.73</v>
      </c>
      <c r="C13" s="18">
        <f aca="true" t="shared" si="2" ref="C13:M13">C14+C15+C16+C23+C24+C25+C38+C45</f>
        <v>399240.76</v>
      </c>
      <c r="D13" s="18">
        <f t="shared" si="2"/>
        <v>370591.08</v>
      </c>
      <c r="E13" s="18">
        <f t="shared" si="2"/>
        <v>156611.96000000002</v>
      </c>
      <c r="F13" s="18">
        <f t="shared" si="2"/>
        <v>193059.83000000002</v>
      </c>
      <c r="G13" s="18">
        <f t="shared" si="2"/>
        <v>228921.89</v>
      </c>
      <c r="H13" s="18">
        <f t="shared" si="2"/>
        <v>119863.09000000001</v>
      </c>
      <c r="I13" s="18">
        <f t="shared" si="2"/>
        <v>157368.37</v>
      </c>
      <c r="J13" s="18">
        <f t="shared" si="2"/>
        <v>352405.23</v>
      </c>
      <c r="K13" s="18">
        <f t="shared" si="2"/>
        <v>218021.17</v>
      </c>
      <c r="L13" s="18">
        <f t="shared" si="2"/>
        <v>386316.20999999996</v>
      </c>
      <c r="M13" s="18">
        <f t="shared" si="2"/>
        <v>506597.86000000004</v>
      </c>
      <c r="N13" s="18">
        <f>N14+N15+N16+N23+N24+N25+N38+N43+N44+N45</f>
        <v>3249768.18</v>
      </c>
    </row>
    <row r="14" spans="1:14" s="1" customFormat="1" ht="12.75">
      <c r="A14" s="3" t="s">
        <v>14</v>
      </c>
      <c r="B14" s="21">
        <v>130631.75</v>
      </c>
      <c r="C14" s="21">
        <f>55868.4+71422.41</f>
        <v>127290.81</v>
      </c>
      <c r="D14" s="21">
        <f>47791.8+80235.72</f>
        <v>128027.52</v>
      </c>
      <c r="E14" s="43">
        <f>51571.8+55624.96</f>
        <v>107196.76000000001</v>
      </c>
      <c r="F14" s="43">
        <f>56863.8+88674.79</f>
        <v>145538.59</v>
      </c>
      <c r="G14" s="43">
        <f>62347.3+109991.19+2858.24</f>
        <v>175196.72999999998</v>
      </c>
      <c r="H14" s="46">
        <f>50695.94+42636.57</f>
        <v>93332.51000000001</v>
      </c>
      <c r="I14" s="46">
        <f>43066.8+72643.25</f>
        <v>115710.05</v>
      </c>
      <c r="J14" s="46">
        <f>54558+69372.12</f>
        <v>123930.12</v>
      </c>
      <c r="K14" s="46">
        <f>41932.8+93635.22</f>
        <v>135568.02000000002</v>
      </c>
      <c r="L14" s="46">
        <f>40231.8+86669.17</f>
        <v>126900.97</v>
      </c>
      <c r="M14" s="46">
        <f>46594.8+106365.05</f>
        <v>152959.85</v>
      </c>
      <c r="N14" s="19">
        <f>SUM(B14:M14)</f>
        <v>1562283.6800000002</v>
      </c>
    </row>
    <row r="15" spans="1:14" s="1" customFormat="1" ht="12.75">
      <c r="A15" s="3" t="s">
        <v>26</v>
      </c>
      <c r="B15" s="21">
        <v>28738.98</v>
      </c>
      <c r="C15" s="21">
        <f>12291.05+15572.65</f>
        <v>27863.699999999997</v>
      </c>
      <c r="D15" s="21">
        <f>10514.2+17419.29+300</f>
        <v>28233.49</v>
      </c>
      <c r="E15" s="43">
        <f>11345.8+15346.78</f>
        <v>26692.58</v>
      </c>
      <c r="F15" s="43">
        <f>12510.04+18706.3</f>
        <v>31216.34</v>
      </c>
      <c r="G15" s="43">
        <f>13716.41+23139.1+628.81</f>
        <v>37484.31999999999</v>
      </c>
      <c r="H15" s="47">
        <f>11153.11+8975.55</f>
        <v>20128.66</v>
      </c>
      <c r="I15" s="47">
        <f>9474.7+15547.71</f>
        <v>25022.41</v>
      </c>
      <c r="J15" s="47">
        <f>12002.76+16498.65</f>
        <v>28501.410000000003</v>
      </c>
      <c r="K15" s="47">
        <f>10225.22+19784.95</f>
        <v>30010.17</v>
      </c>
      <c r="L15" s="47">
        <f>8851+18678.4</f>
        <v>27529.4</v>
      </c>
      <c r="M15" s="47">
        <f>10250.86+22409.83+569.31</f>
        <v>33230</v>
      </c>
      <c r="N15" s="19">
        <f>SUM(B15:M15)</f>
        <v>344651.46</v>
      </c>
    </row>
    <row r="16" spans="1:14" s="1" customFormat="1" ht="27.75" customHeight="1">
      <c r="A16" s="4" t="s">
        <v>27</v>
      </c>
      <c r="B16" s="19">
        <f>SUM(B17:B22)</f>
        <v>0</v>
      </c>
      <c r="C16" s="19">
        <f aca="true" t="shared" si="3" ref="C16:N16">SUM(C17:C22)</f>
        <v>10575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2990</v>
      </c>
      <c r="I16" s="19">
        <f t="shared" si="3"/>
        <v>9450</v>
      </c>
      <c r="J16" s="19">
        <f t="shared" si="3"/>
        <v>8455.3</v>
      </c>
      <c r="K16" s="19">
        <f t="shared" si="3"/>
        <v>15570</v>
      </c>
      <c r="L16" s="19">
        <f t="shared" si="3"/>
        <v>0</v>
      </c>
      <c r="M16" s="19">
        <f t="shared" si="3"/>
        <v>97221.3</v>
      </c>
      <c r="N16" s="19">
        <f t="shared" si="3"/>
        <v>144261.6</v>
      </c>
    </row>
    <row r="17" spans="1:14" s="1" customFormat="1" ht="12.75">
      <c r="A17" s="5" t="s">
        <v>15</v>
      </c>
      <c r="B17" s="30"/>
      <c r="C17" s="30">
        <v>10575</v>
      </c>
      <c r="D17" s="31"/>
      <c r="E17" s="31"/>
      <c r="F17" s="30"/>
      <c r="G17" s="30"/>
      <c r="H17" s="30"/>
      <c r="I17" s="30">
        <v>9450</v>
      </c>
      <c r="J17" s="30"/>
      <c r="K17" s="30">
        <v>15255</v>
      </c>
      <c r="L17" s="30"/>
      <c r="M17" s="32">
        <v>27985</v>
      </c>
      <c r="N17" s="30">
        <f aca="true" t="shared" si="4" ref="N17:N24">SUM(B17:M17)</f>
        <v>63265</v>
      </c>
    </row>
    <row r="18" spans="1:14" s="1" customFormat="1" ht="12.75">
      <c r="A18" s="5" t="s">
        <v>92</v>
      </c>
      <c r="B18" s="30"/>
      <c r="C18" s="30"/>
      <c r="D18" s="31"/>
      <c r="E18" s="31"/>
      <c r="F18" s="30"/>
      <c r="G18" s="30"/>
      <c r="H18" s="30">
        <v>2990</v>
      </c>
      <c r="I18" s="30"/>
      <c r="J18" s="30">
        <v>2348</v>
      </c>
      <c r="K18" s="30">
        <v>315</v>
      </c>
      <c r="L18" s="30"/>
      <c r="M18" s="32">
        <v>2991</v>
      </c>
      <c r="N18" s="30">
        <f t="shared" si="4"/>
        <v>8644</v>
      </c>
    </row>
    <row r="19" spans="1:14" s="1" customFormat="1" ht="12.75">
      <c r="A19" s="5" t="s">
        <v>94</v>
      </c>
      <c r="B19" s="30"/>
      <c r="C19" s="30"/>
      <c r="D19" s="31"/>
      <c r="E19" s="31"/>
      <c r="F19" s="30"/>
      <c r="G19" s="30"/>
      <c r="H19" s="30"/>
      <c r="I19" s="30"/>
      <c r="J19" s="30">
        <v>3450</v>
      </c>
      <c r="K19" s="30"/>
      <c r="L19" s="30"/>
      <c r="M19" s="32">
        <v>38525</v>
      </c>
      <c r="N19" s="30">
        <f>SUM(B19:M19)</f>
        <v>41975</v>
      </c>
    </row>
    <row r="20" spans="1:14" s="1" customFormat="1" ht="12.75">
      <c r="A20" s="5" t="s">
        <v>95</v>
      </c>
      <c r="B20" s="30"/>
      <c r="C20" s="30"/>
      <c r="D20" s="31"/>
      <c r="E20" s="31"/>
      <c r="F20" s="30"/>
      <c r="G20" s="30"/>
      <c r="H20" s="30"/>
      <c r="I20" s="30"/>
      <c r="J20" s="30">
        <v>2657.3</v>
      </c>
      <c r="K20" s="30"/>
      <c r="L20" s="30"/>
      <c r="M20" s="32">
        <v>1767</v>
      </c>
      <c r="N20" s="30">
        <f>SUM(B20:M20)</f>
        <v>4424.3</v>
      </c>
    </row>
    <row r="21" spans="1:14" s="1" customFormat="1" ht="12.75">
      <c r="A21" s="5" t="s">
        <v>116</v>
      </c>
      <c r="B21" s="30"/>
      <c r="C21" s="30"/>
      <c r="D21" s="31"/>
      <c r="E21" s="31"/>
      <c r="F21" s="30"/>
      <c r="G21" s="30"/>
      <c r="H21" s="30"/>
      <c r="I21" s="30"/>
      <c r="J21" s="30"/>
      <c r="K21" s="30"/>
      <c r="L21" s="30"/>
      <c r="M21" s="32">
        <v>2436</v>
      </c>
      <c r="N21" s="30">
        <f t="shared" si="4"/>
        <v>2436</v>
      </c>
    </row>
    <row r="22" spans="1:14" s="1" customFormat="1" ht="12.75">
      <c r="A22" s="5" t="s">
        <v>117</v>
      </c>
      <c r="B22" s="30"/>
      <c r="C22" s="30"/>
      <c r="D22" s="31"/>
      <c r="E22" s="31"/>
      <c r="F22" s="30"/>
      <c r="G22" s="30"/>
      <c r="H22" s="30"/>
      <c r="I22" s="30"/>
      <c r="J22" s="30"/>
      <c r="K22" s="30"/>
      <c r="L22" s="30"/>
      <c r="M22" s="32">
        <v>23517.3</v>
      </c>
      <c r="N22" s="30">
        <f t="shared" si="4"/>
        <v>23517.3</v>
      </c>
    </row>
    <row r="23" spans="1:14" s="1" customFormat="1" ht="12.75">
      <c r="A23" s="23" t="s">
        <v>28</v>
      </c>
      <c r="B23" s="19"/>
      <c r="C23" s="19">
        <v>3463.64</v>
      </c>
      <c r="D23" s="27"/>
      <c r="E23" s="27"/>
      <c r="F23" s="27"/>
      <c r="G23" s="27"/>
      <c r="H23" s="28"/>
      <c r="I23" s="19"/>
      <c r="J23" s="27"/>
      <c r="K23" s="27"/>
      <c r="L23" s="27">
        <v>2304.3</v>
      </c>
      <c r="M23" s="29">
        <v>20916.2</v>
      </c>
      <c r="N23" s="19">
        <f t="shared" si="4"/>
        <v>26684.14</v>
      </c>
    </row>
    <row r="24" spans="1:14" s="1" customFormat="1" ht="15" customHeight="1">
      <c r="A24" s="3" t="s">
        <v>16</v>
      </c>
      <c r="B24" s="21"/>
      <c r="C24" s="21">
        <v>14036.41</v>
      </c>
      <c r="D24" s="27">
        <v>12401.85</v>
      </c>
      <c r="E24" s="43">
        <v>16508.36</v>
      </c>
      <c r="F24" s="43">
        <f>3322.95+456+6958.53</f>
        <v>10737.48</v>
      </c>
      <c r="G24" s="43">
        <f>297+4118.17</f>
        <v>4415.17</v>
      </c>
      <c r="H24" s="19"/>
      <c r="I24" s="19"/>
      <c r="J24" s="27"/>
      <c r="K24" s="47">
        <f>637+594+17874.83+5375.56+208</f>
        <v>24689.390000000003</v>
      </c>
      <c r="L24" s="47">
        <f>481+7357.07</f>
        <v>7838.07</v>
      </c>
      <c r="M24" s="54">
        <f>414+13015.06</f>
        <v>13429.06</v>
      </c>
      <c r="N24" s="19">
        <f t="shared" si="4"/>
        <v>104055.79000000001</v>
      </c>
    </row>
    <row r="25" spans="1:14" s="1" customFormat="1" ht="12.75">
      <c r="A25" s="7" t="s">
        <v>17</v>
      </c>
      <c r="B25" s="19">
        <f>SUM(B26:B30)</f>
        <v>0</v>
      </c>
      <c r="C25" s="19">
        <f>SUM(C26:C30)</f>
        <v>1385.04</v>
      </c>
      <c r="D25" s="19">
        <f>SUM(D26:D30)</f>
        <v>3730.66</v>
      </c>
      <c r="E25" s="19">
        <f>SUM(E26:E30)</f>
        <v>241.56</v>
      </c>
      <c r="F25" s="19">
        <f>SUM(F26:F30)</f>
        <v>0</v>
      </c>
      <c r="G25" s="19">
        <f aca="true" t="shared" si="5" ref="G25:N25">SUM(G26:G37)</f>
        <v>6425.1900000000005</v>
      </c>
      <c r="H25" s="19">
        <f t="shared" si="5"/>
        <v>1200</v>
      </c>
      <c r="I25" s="19">
        <f t="shared" si="5"/>
        <v>5937.73</v>
      </c>
      <c r="J25" s="19">
        <f t="shared" si="5"/>
        <v>4342.73</v>
      </c>
      <c r="K25" s="19">
        <f t="shared" si="5"/>
        <v>1295.07</v>
      </c>
      <c r="L25" s="19">
        <f t="shared" si="5"/>
        <v>10715</v>
      </c>
      <c r="M25" s="19">
        <f t="shared" si="5"/>
        <v>6746.700000000001</v>
      </c>
      <c r="N25" s="19">
        <f t="shared" si="5"/>
        <v>42019.68</v>
      </c>
    </row>
    <row r="26" spans="1:14" s="1" customFormat="1" ht="14.25" customHeight="1">
      <c r="A26" s="5" t="s">
        <v>29</v>
      </c>
      <c r="B26" s="19"/>
      <c r="C26" s="30">
        <v>1385.04</v>
      </c>
      <c r="D26" s="30"/>
      <c r="E26" s="30"/>
      <c r="F26" s="30"/>
      <c r="G26" s="30"/>
      <c r="H26" s="30"/>
      <c r="I26" s="30"/>
      <c r="J26" s="30"/>
      <c r="K26" s="30"/>
      <c r="L26" s="19"/>
      <c r="M26" s="19"/>
      <c r="N26" s="30">
        <f aca="true" t="shared" si="6" ref="N26:N37">SUM(B26:M26)</f>
        <v>1385.04</v>
      </c>
    </row>
    <row r="27" spans="1:14" s="1" customFormat="1" ht="12.75">
      <c r="A27" s="6" t="s">
        <v>18</v>
      </c>
      <c r="B27" s="30"/>
      <c r="C27" s="30"/>
      <c r="D27" s="30">
        <v>2400</v>
      </c>
      <c r="E27" s="30"/>
      <c r="F27" s="30"/>
      <c r="G27" s="30">
        <v>3600</v>
      </c>
      <c r="H27" s="30">
        <v>1200</v>
      </c>
      <c r="I27" s="30">
        <v>1200</v>
      </c>
      <c r="J27" s="30">
        <v>1200</v>
      </c>
      <c r="K27" s="30">
        <v>1200</v>
      </c>
      <c r="L27" s="30">
        <v>1200</v>
      </c>
      <c r="M27" s="30">
        <v>2400</v>
      </c>
      <c r="N27" s="30">
        <f t="shared" si="6"/>
        <v>14400</v>
      </c>
    </row>
    <row r="28" spans="1:14" s="1" customFormat="1" ht="12.75">
      <c r="A28" s="6" t="s">
        <v>30</v>
      </c>
      <c r="B28" s="30"/>
      <c r="C28" s="30"/>
      <c r="D28" s="30">
        <v>840</v>
      </c>
      <c r="E28" s="30"/>
      <c r="F28" s="30"/>
      <c r="G28" s="30"/>
      <c r="H28" s="30"/>
      <c r="I28" s="30"/>
      <c r="J28" s="30">
        <v>960</v>
      </c>
      <c r="K28" s="30"/>
      <c r="L28" s="30"/>
      <c r="M28" s="30"/>
      <c r="N28" s="30">
        <f t="shared" si="6"/>
        <v>1800</v>
      </c>
    </row>
    <row r="29" spans="1:14" s="1" customFormat="1" ht="15" customHeight="1">
      <c r="A29" s="6" t="s">
        <v>19</v>
      </c>
      <c r="B29" s="30"/>
      <c r="C29" s="30"/>
      <c r="D29" s="30">
        <v>490.66</v>
      </c>
      <c r="E29" s="30"/>
      <c r="F29" s="30"/>
      <c r="G29" s="30"/>
      <c r="H29" s="30"/>
      <c r="I29" s="30">
        <v>1737.73</v>
      </c>
      <c r="J29" s="30"/>
      <c r="K29" s="30">
        <v>95.07</v>
      </c>
      <c r="L29" s="30"/>
      <c r="M29" s="30"/>
      <c r="N29" s="30">
        <f t="shared" si="6"/>
        <v>2323.46</v>
      </c>
    </row>
    <row r="30" spans="1:14" s="1" customFormat="1" ht="15" customHeight="1">
      <c r="A30" s="6" t="s">
        <v>70</v>
      </c>
      <c r="B30" s="30"/>
      <c r="C30" s="30"/>
      <c r="D30" s="30"/>
      <c r="E30" s="44">
        <v>241.56</v>
      </c>
      <c r="F30" s="30"/>
      <c r="G30" s="30">
        <v>205.19</v>
      </c>
      <c r="H30" s="30"/>
      <c r="I30" s="30"/>
      <c r="J30" s="30">
        <v>182.73</v>
      </c>
      <c r="K30" s="30"/>
      <c r="L30" s="30"/>
      <c r="M30" s="30">
        <v>740.52</v>
      </c>
      <c r="N30" s="30">
        <f t="shared" si="6"/>
        <v>1370</v>
      </c>
    </row>
    <row r="31" spans="1:14" s="1" customFormat="1" ht="15" customHeight="1">
      <c r="A31" s="6" t="s">
        <v>71</v>
      </c>
      <c r="B31" s="30"/>
      <c r="C31" s="30"/>
      <c r="D31" s="30"/>
      <c r="E31" s="30"/>
      <c r="F31" s="30"/>
      <c r="G31" s="30">
        <v>1400</v>
      </c>
      <c r="H31" s="30"/>
      <c r="I31" s="30"/>
      <c r="J31" s="30"/>
      <c r="K31" s="30"/>
      <c r="L31" s="30"/>
      <c r="M31" s="30"/>
      <c r="N31" s="30">
        <f t="shared" si="6"/>
        <v>1400</v>
      </c>
    </row>
    <row r="32" spans="1:14" s="1" customFormat="1" ht="15" customHeight="1">
      <c r="A32" s="6" t="s">
        <v>72</v>
      </c>
      <c r="B32" s="30"/>
      <c r="C32" s="30"/>
      <c r="D32" s="30"/>
      <c r="E32" s="30"/>
      <c r="F32" s="30"/>
      <c r="G32" s="30">
        <v>1220</v>
      </c>
      <c r="H32" s="30"/>
      <c r="I32" s="30"/>
      <c r="J32" s="30"/>
      <c r="K32" s="30"/>
      <c r="L32" s="30"/>
      <c r="M32" s="30">
        <v>1220</v>
      </c>
      <c r="N32" s="30">
        <f>SUM(B32:M32)</f>
        <v>2440</v>
      </c>
    </row>
    <row r="33" spans="1:14" s="1" customFormat="1" ht="15" customHeight="1">
      <c r="A33" s="6" t="s">
        <v>93</v>
      </c>
      <c r="B33" s="30"/>
      <c r="C33" s="30"/>
      <c r="D33" s="30"/>
      <c r="E33" s="30"/>
      <c r="F33" s="30"/>
      <c r="G33" s="30"/>
      <c r="H33" s="30"/>
      <c r="I33" s="30">
        <v>3000</v>
      </c>
      <c r="J33" s="30"/>
      <c r="K33" s="30"/>
      <c r="L33" s="30"/>
      <c r="M33" s="30"/>
      <c r="N33" s="30">
        <f>SUM(B33:M33)</f>
        <v>3000</v>
      </c>
    </row>
    <row r="34" spans="1:14" s="1" customFormat="1" ht="15" customHeight="1">
      <c r="A34" s="6" t="s">
        <v>96</v>
      </c>
      <c r="B34" s="30"/>
      <c r="C34" s="30"/>
      <c r="D34" s="30"/>
      <c r="E34" s="30"/>
      <c r="F34" s="30"/>
      <c r="G34" s="30"/>
      <c r="H34" s="30"/>
      <c r="I34" s="30"/>
      <c r="J34" s="30">
        <v>2000</v>
      </c>
      <c r="K34" s="30"/>
      <c r="L34" s="30"/>
      <c r="M34" s="30"/>
      <c r="N34" s="30">
        <f>SUM(B34:M34)</f>
        <v>2000</v>
      </c>
    </row>
    <row r="35" spans="1:14" s="1" customFormat="1" ht="15" customHeight="1">
      <c r="A35" s="6" t="s">
        <v>119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>
        <v>2095</v>
      </c>
      <c r="M35" s="30"/>
      <c r="N35" s="30">
        <f>SUM(B35:M35)</f>
        <v>2095</v>
      </c>
    </row>
    <row r="36" spans="1:14" s="1" customFormat="1" ht="15" customHeight="1">
      <c r="A36" s="6" t="s">
        <v>120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>
        <v>7420</v>
      </c>
      <c r="M36" s="30"/>
      <c r="N36" s="30">
        <f>SUM(B36:M36)</f>
        <v>7420</v>
      </c>
    </row>
    <row r="37" spans="1:14" s="1" customFormat="1" ht="15" customHeight="1">
      <c r="A37" s="6" t="s">
        <v>118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>
        <v>2386.18</v>
      </c>
      <c r="N37" s="30">
        <f t="shared" si="6"/>
        <v>2386.18</v>
      </c>
    </row>
    <row r="38" spans="1:14" s="1" customFormat="1" ht="26.25" customHeight="1">
      <c r="A38" s="8" t="s">
        <v>20</v>
      </c>
      <c r="B38" s="19">
        <f aca="true" t="shared" si="7" ref="B38:N38">SUM(B39:B42)</f>
        <v>0</v>
      </c>
      <c r="C38" s="19">
        <f t="shared" si="7"/>
        <v>214626.16</v>
      </c>
      <c r="D38" s="19">
        <f t="shared" si="7"/>
        <v>198197.56</v>
      </c>
      <c r="E38" s="19">
        <f t="shared" si="7"/>
        <v>5972.7</v>
      </c>
      <c r="F38" s="19">
        <f t="shared" si="7"/>
        <v>5567.42</v>
      </c>
      <c r="G38" s="19">
        <f t="shared" si="7"/>
        <v>5400.48</v>
      </c>
      <c r="H38" s="19">
        <f t="shared" si="7"/>
        <v>2211.92</v>
      </c>
      <c r="I38" s="19">
        <f t="shared" si="7"/>
        <v>1248.18</v>
      </c>
      <c r="J38" s="19">
        <f t="shared" si="7"/>
        <v>187175.66999999998</v>
      </c>
      <c r="K38" s="19">
        <f t="shared" si="7"/>
        <v>10888.52</v>
      </c>
      <c r="L38" s="19">
        <f t="shared" si="7"/>
        <v>140478.47</v>
      </c>
      <c r="M38" s="19">
        <f t="shared" si="7"/>
        <v>182094.75</v>
      </c>
      <c r="N38" s="19">
        <f t="shared" si="7"/>
        <v>953861.83</v>
      </c>
    </row>
    <row r="39" spans="1:14" s="1" customFormat="1" ht="15.75" customHeight="1">
      <c r="A39" s="9" t="s">
        <v>21</v>
      </c>
      <c r="B39" s="30"/>
      <c r="C39" s="32">
        <v>207949.23</v>
      </c>
      <c r="D39" s="32">
        <v>192629.41</v>
      </c>
      <c r="E39" s="32"/>
      <c r="F39" s="30"/>
      <c r="G39" s="30"/>
      <c r="H39" s="30"/>
      <c r="I39" s="30"/>
      <c r="J39" s="31">
        <f>175569.86+4158.14+256.36</f>
        <v>179984.36</v>
      </c>
      <c r="K39" s="30"/>
      <c r="L39" s="55">
        <v>126000</v>
      </c>
      <c r="M39" s="55">
        <v>153062</v>
      </c>
      <c r="N39" s="30">
        <f aca="true" t="shared" si="8" ref="N39:N45">SUM(B39:M39)</f>
        <v>859625</v>
      </c>
    </row>
    <row r="40" spans="1:14" s="1" customFormat="1" ht="12.75">
      <c r="A40" s="10" t="s">
        <v>22</v>
      </c>
      <c r="B40" s="30"/>
      <c r="C40" s="31"/>
      <c r="D40" s="31">
        <v>481.32</v>
      </c>
      <c r="E40" s="44">
        <v>481.32</v>
      </c>
      <c r="F40" s="44">
        <v>229.2</v>
      </c>
      <c r="G40" s="31"/>
      <c r="H40" s="30"/>
      <c r="I40" s="31">
        <f>481.32+252.12</f>
        <v>733.44</v>
      </c>
      <c r="J40" s="31">
        <v>252.12</v>
      </c>
      <c r="K40" s="55">
        <v>229.2</v>
      </c>
      <c r="L40" s="55">
        <v>252.12</v>
      </c>
      <c r="M40" s="55">
        <f>2292+3300.28</f>
        <v>5592.280000000001</v>
      </c>
      <c r="N40" s="30">
        <f t="shared" si="8"/>
        <v>8251</v>
      </c>
    </row>
    <row r="41" spans="1:14" s="1" customFormat="1" ht="12.75">
      <c r="A41" s="10" t="s">
        <v>23</v>
      </c>
      <c r="B41" s="30"/>
      <c r="C41" s="31">
        <v>6676.93</v>
      </c>
      <c r="D41" s="31">
        <v>5086.83</v>
      </c>
      <c r="E41" s="44">
        <f>2241.06+2195.82+1054.5</f>
        <v>5491.38</v>
      </c>
      <c r="F41" s="32">
        <f>1827.89+3510.33</f>
        <v>5338.22</v>
      </c>
      <c r="G41" s="31">
        <v>5400.48</v>
      </c>
      <c r="H41" s="31">
        <f>721.03+1490.89</f>
        <v>2211.92</v>
      </c>
      <c r="I41" s="31">
        <f>98.23+416.51</f>
        <v>514.74</v>
      </c>
      <c r="J41" s="31">
        <f>284.57+4782.62</f>
        <v>5067.19</v>
      </c>
      <c r="K41" s="55">
        <f>2762.59+4308.54+3213.79</f>
        <v>10284.92</v>
      </c>
      <c r="L41" s="55">
        <f>2542.84+6230.07+5453.44</f>
        <v>14226.349999999999</v>
      </c>
      <c r="M41" s="55">
        <f>2592.46+4375.68+2692.72+1202.25+11454.36</f>
        <v>22317.47</v>
      </c>
      <c r="N41" s="30">
        <f t="shared" si="8"/>
        <v>82616.43</v>
      </c>
    </row>
    <row r="42" spans="1:14" s="1" customFormat="1" ht="12.75">
      <c r="A42" s="10" t="s">
        <v>97</v>
      </c>
      <c r="B42" s="30"/>
      <c r="C42" s="31"/>
      <c r="D42" s="31"/>
      <c r="E42" s="44"/>
      <c r="F42" s="32"/>
      <c r="G42" s="31"/>
      <c r="H42" s="31"/>
      <c r="I42" s="31"/>
      <c r="J42" s="31">
        <v>1872</v>
      </c>
      <c r="K42" s="55">
        <v>374.4</v>
      </c>
      <c r="L42" s="30"/>
      <c r="M42" s="55">
        <f>374.4+374.4+374.2</f>
        <v>1123</v>
      </c>
      <c r="N42" s="30">
        <f t="shared" si="8"/>
        <v>3369.4</v>
      </c>
    </row>
    <row r="43" spans="1:14" s="1" customFormat="1" ht="15" customHeight="1">
      <c r="A43" s="3" t="s">
        <v>73</v>
      </c>
      <c r="B43" s="21"/>
      <c r="C43" s="21"/>
      <c r="D43" s="27"/>
      <c r="E43" s="27"/>
      <c r="F43" s="27"/>
      <c r="G43" s="27">
        <v>680</v>
      </c>
      <c r="H43" s="19"/>
      <c r="I43" s="19"/>
      <c r="J43" s="27"/>
      <c r="K43" s="27"/>
      <c r="L43" s="27"/>
      <c r="M43" s="29"/>
      <c r="N43" s="19">
        <f t="shared" si="8"/>
        <v>680</v>
      </c>
    </row>
    <row r="44" spans="1:14" s="1" customFormat="1" ht="15" customHeight="1">
      <c r="A44" s="3" t="s">
        <v>121</v>
      </c>
      <c r="B44" s="21"/>
      <c r="C44" s="21"/>
      <c r="D44" s="27"/>
      <c r="E44" s="27"/>
      <c r="F44" s="27"/>
      <c r="G44" s="27"/>
      <c r="H44" s="19"/>
      <c r="I44" s="19"/>
      <c r="J44" s="27"/>
      <c r="K44" s="27"/>
      <c r="L44" s="27"/>
      <c r="M44" s="29">
        <v>720</v>
      </c>
      <c r="N44" s="19">
        <f t="shared" si="8"/>
        <v>720</v>
      </c>
    </row>
    <row r="45" spans="1:14" s="1" customFormat="1" ht="15" customHeight="1">
      <c r="A45" s="3" t="s">
        <v>122</v>
      </c>
      <c r="B45" s="21"/>
      <c r="C45" s="21"/>
      <c r="D45" s="27"/>
      <c r="E45" s="27"/>
      <c r="F45" s="27"/>
      <c r="G45" s="27"/>
      <c r="H45" s="19"/>
      <c r="I45" s="19"/>
      <c r="J45" s="27"/>
      <c r="K45" s="27"/>
      <c r="L45" s="27">
        <v>70550</v>
      </c>
      <c r="M45" s="29"/>
      <c r="N45" s="19">
        <f t="shared" si="8"/>
        <v>70550</v>
      </c>
    </row>
    <row r="46" spans="1:14" s="1" customFormat="1" ht="13.5">
      <c r="A46" s="25" t="s">
        <v>98</v>
      </c>
      <c r="B46" s="18">
        <f aca="true" t="shared" si="9" ref="B46:N46">B47+B55+B56+B60</f>
        <v>0</v>
      </c>
      <c r="C46" s="18">
        <f t="shared" si="9"/>
        <v>0</v>
      </c>
      <c r="D46" s="18">
        <f t="shared" si="9"/>
        <v>0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0</v>
      </c>
      <c r="I46" s="18">
        <f t="shared" si="9"/>
        <v>506518.20999999996</v>
      </c>
      <c r="J46" s="18">
        <f t="shared" si="9"/>
        <v>401331</v>
      </c>
      <c r="K46" s="18">
        <f t="shared" si="9"/>
        <v>94800</v>
      </c>
      <c r="L46" s="18">
        <f t="shared" si="9"/>
        <v>0</v>
      </c>
      <c r="M46" s="18">
        <f t="shared" si="9"/>
        <v>15400</v>
      </c>
      <c r="N46" s="18">
        <f t="shared" si="9"/>
        <v>1018049.21</v>
      </c>
    </row>
    <row r="47" spans="1:14" s="1" customFormat="1" ht="27.75" customHeight="1">
      <c r="A47" s="4" t="s">
        <v>27</v>
      </c>
      <c r="B47" s="19">
        <f aca="true" t="shared" si="10" ref="B47:N47">SUM(B48:B54)</f>
        <v>0</v>
      </c>
      <c r="C47" s="19">
        <f t="shared" si="10"/>
        <v>0</v>
      </c>
      <c r="D47" s="19">
        <f t="shared" si="10"/>
        <v>0</v>
      </c>
      <c r="E47" s="19">
        <f t="shared" si="10"/>
        <v>0</v>
      </c>
      <c r="F47" s="19">
        <f t="shared" si="10"/>
        <v>0</v>
      </c>
      <c r="G47" s="19">
        <f t="shared" si="10"/>
        <v>0</v>
      </c>
      <c r="H47" s="19">
        <f t="shared" si="10"/>
        <v>0</v>
      </c>
      <c r="I47" s="19">
        <f t="shared" si="10"/>
        <v>46983</v>
      </c>
      <c r="J47" s="19">
        <f t="shared" si="10"/>
        <v>21900</v>
      </c>
      <c r="K47" s="19">
        <f t="shared" si="10"/>
        <v>0</v>
      </c>
      <c r="L47" s="19">
        <f t="shared" si="10"/>
        <v>0</v>
      </c>
      <c r="M47" s="19">
        <f t="shared" si="10"/>
        <v>15400</v>
      </c>
      <c r="N47" s="19">
        <f t="shared" si="10"/>
        <v>84283</v>
      </c>
    </row>
    <row r="48" spans="1:14" s="1" customFormat="1" ht="12.75">
      <c r="A48" s="48" t="s">
        <v>99</v>
      </c>
      <c r="B48" s="19"/>
      <c r="C48" s="49"/>
      <c r="D48" s="34"/>
      <c r="E48" s="34"/>
      <c r="F48" s="34"/>
      <c r="G48" s="34"/>
      <c r="H48" s="34"/>
      <c r="I48" s="36">
        <v>29640</v>
      </c>
      <c r="J48" s="34"/>
      <c r="K48" s="34"/>
      <c r="L48" s="34"/>
      <c r="M48" s="34"/>
      <c r="N48" s="30">
        <f aca="true" t="shared" si="11" ref="N48:N55">SUM(B48:M48)</f>
        <v>29640</v>
      </c>
    </row>
    <row r="49" spans="1:14" s="1" customFormat="1" ht="12.75">
      <c r="A49" s="48" t="s">
        <v>100</v>
      </c>
      <c r="B49" s="19"/>
      <c r="C49" s="49"/>
      <c r="D49" s="34"/>
      <c r="E49" s="34"/>
      <c r="F49" s="34"/>
      <c r="G49" s="34"/>
      <c r="H49" s="34"/>
      <c r="I49" s="36">
        <v>3540</v>
      </c>
      <c r="J49" s="34"/>
      <c r="K49" s="34"/>
      <c r="L49" s="34"/>
      <c r="M49" s="34"/>
      <c r="N49" s="30">
        <f t="shared" si="11"/>
        <v>3540</v>
      </c>
    </row>
    <row r="50" spans="1:14" s="1" customFormat="1" ht="12.75">
      <c r="A50" s="48" t="s">
        <v>101</v>
      </c>
      <c r="B50" s="19"/>
      <c r="C50" s="49"/>
      <c r="D50" s="34"/>
      <c r="E50" s="34"/>
      <c r="F50" s="34"/>
      <c r="G50" s="34"/>
      <c r="H50" s="34"/>
      <c r="I50" s="36">
        <v>5000</v>
      </c>
      <c r="J50" s="34"/>
      <c r="K50" s="34"/>
      <c r="L50" s="34"/>
      <c r="M50" s="34"/>
      <c r="N50" s="30">
        <f t="shared" si="11"/>
        <v>5000</v>
      </c>
    </row>
    <row r="51" spans="1:14" s="1" customFormat="1" ht="25.5">
      <c r="A51" s="6" t="s">
        <v>102</v>
      </c>
      <c r="B51" s="30"/>
      <c r="C51" s="30"/>
      <c r="D51" s="50"/>
      <c r="E51" s="50"/>
      <c r="F51" s="51"/>
      <c r="G51" s="51"/>
      <c r="H51" s="51"/>
      <c r="I51" s="51">
        <v>8803</v>
      </c>
      <c r="J51" s="51"/>
      <c r="K51" s="51"/>
      <c r="L51" s="51"/>
      <c r="M51" s="52"/>
      <c r="N51" s="30">
        <f t="shared" si="11"/>
        <v>8803</v>
      </c>
    </row>
    <row r="52" spans="1:14" s="1" customFormat="1" ht="12.75">
      <c r="A52" s="48" t="s">
        <v>103</v>
      </c>
      <c r="B52" s="19"/>
      <c r="C52" s="49"/>
      <c r="D52" s="34"/>
      <c r="E52" s="34"/>
      <c r="F52" s="34"/>
      <c r="G52" s="34"/>
      <c r="H52" s="34"/>
      <c r="I52" s="36"/>
      <c r="J52" s="36">
        <v>12500</v>
      </c>
      <c r="K52" s="34"/>
      <c r="L52" s="34"/>
      <c r="M52" s="34"/>
      <c r="N52" s="30">
        <f t="shared" si="11"/>
        <v>12500</v>
      </c>
    </row>
    <row r="53" spans="1:14" s="1" customFormat="1" ht="12.75">
      <c r="A53" s="6" t="s">
        <v>104</v>
      </c>
      <c r="B53" s="30"/>
      <c r="C53" s="30"/>
      <c r="D53" s="50"/>
      <c r="E53" s="50"/>
      <c r="F53" s="51"/>
      <c r="G53" s="51"/>
      <c r="H53" s="51"/>
      <c r="I53" s="51"/>
      <c r="J53" s="51">
        <v>9400</v>
      </c>
      <c r="K53" s="51"/>
      <c r="L53" s="51"/>
      <c r="M53" s="52"/>
      <c r="N53" s="30">
        <f>SUM(B53:M53)</f>
        <v>9400</v>
      </c>
    </row>
    <row r="54" spans="1:14" s="1" customFormat="1" ht="12.75">
      <c r="A54" s="6" t="s">
        <v>125</v>
      </c>
      <c r="B54" s="30"/>
      <c r="C54" s="30"/>
      <c r="D54" s="50"/>
      <c r="E54" s="50"/>
      <c r="F54" s="51"/>
      <c r="G54" s="51"/>
      <c r="H54" s="51"/>
      <c r="I54" s="51"/>
      <c r="J54" s="51"/>
      <c r="K54" s="51"/>
      <c r="L54" s="51"/>
      <c r="M54" s="52">
        <v>15400</v>
      </c>
      <c r="N54" s="30">
        <f t="shared" si="11"/>
        <v>15400</v>
      </c>
    </row>
    <row r="55" spans="1:14" s="1" customFormat="1" ht="12.75">
      <c r="A55" s="3" t="s">
        <v>105</v>
      </c>
      <c r="B55" s="21"/>
      <c r="C55" s="21"/>
      <c r="D55" s="21"/>
      <c r="E55" s="43"/>
      <c r="F55" s="43"/>
      <c r="G55" s="43"/>
      <c r="H55" s="43"/>
      <c r="I55" s="43">
        <v>42258.21</v>
      </c>
      <c r="J55" s="16"/>
      <c r="K55" s="16"/>
      <c r="L55" s="16"/>
      <c r="M55" s="21"/>
      <c r="N55" s="19">
        <f t="shared" si="11"/>
        <v>42258.21</v>
      </c>
    </row>
    <row r="56" spans="1:14" s="1" customFormat="1" ht="27.75" customHeight="1">
      <c r="A56" s="4" t="s">
        <v>106</v>
      </c>
      <c r="B56" s="19">
        <f>SUM(B57:B59)</f>
        <v>0</v>
      </c>
      <c r="C56" s="19">
        <f aca="true" t="shared" si="12" ref="C56:N56">SUM(C57:C59)</f>
        <v>0</v>
      </c>
      <c r="D56" s="19">
        <f t="shared" si="12"/>
        <v>0</v>
      </c>
      <c r="E56" s="19">
        <f t="shared" si="12"/>
        <v>0</v>
      </c>
      <c r="F56" s="19">
        <f t="shared" si="12"/>
        <v>0</v>
      </c>
      <c r="G56" s="19">
        <f t="shared" si="12"/>
        <v>0</v>
      </c>
      <c r="H56" s="19">
        <f t="shared" si="12"/>
        <v>0</v>
      </c>
      <c r="I56" s="19">
        <f t="shared" si="12"/>
        <v>25400</v>
      </c>
      <c r="J56" s="19">
        <f t="shared" si="12"/>
        <v>0</v>
      </c>
      <c r="K56" s="19">
        <f t="shared" si="12"/>
        <v>94800</v>
      </c>
      <c r="L56" s="19">
        <f t="shared" si="12"/>
        <v>0</v>
      </c>
      <c r="M56" s="19">
        <f t="shared" si="12"/>
        <v>0</v>
      </c>
      <c r="N56" s="19">
        <f t="shared" si="12"/>
        <v>120200</v>
      </c>
    </row>
    <row r="57" spans="1:14" s="1" customFormat="1" ht="12.75">
      <c r="A57" s="6" t="s">
        <v>107</v>
      </c>
      <c r="B57" s="30"/>
      <c r="C57" s="30"/>
      <c r="D57" s="31"/>
      <c r="E57" s="31"/>
      <c r="F57" s="30"/>
      <c r="G57" s="30"/>
      <c r="H57" s="30"/>
      <c r="I57" s="30">
        <v>25400</v>
      </c>
      <c r="J57" s="30"/>
      <c r="K57" s="30"/>
      <c r="L57" s="30"/>
      <c r="M57" s="32"/>
      <c r="N57" s="30">
        <f>SUM(B57:M57)</f>
        <v>25400</v>
      </c>
    </row>
    <row r="58" spans="1:14" s="1" customFormat="1" ht="12.75">
      <c r="A58" s="6" t="s">
        <v>123</v>
      </c>
      <c r="B58" s="30"/>
      <c r="C58" s="30"/>
      <c r="D58" s="31"/>
      <c r="E58" s="31"/>
      <c r="F58" s="30"/>
      <c r="G58" s="30"/>
      <c r="H58" s="30"/>
      <c r="I58" s="30"/>
      <c r="J58" s="30"/>
      <c r="K58" s="30">
        <v>47200</v>
      </c>
      <c r="L58" s="30"/>
      <c r="M58" s="32"/>
      <c r="N58" s="30">
        <f>SUM(B58:M58)</f>
        <v>47200</v>
      </c>
    </row>
    <row r="59" spans="1:14" s="1" customFormat="1" ht="12.75">
      <c r="A59" s="6" t="s">
        <v>124</v>
      </c>
      <c r="B59" s="30"/>
      <c r="C59" s="30"/>
      <c r="D59" s="31"/>
      <c r="E59" s="31"/>
      <c r="F59" s="30"/>
      <c r="G59" s="30"/>
      <c r="H59" s="30"/>
      <c r="I59" s="30"/>
      <c r="J59" s="30"/>
      <c r="K59" s="30">
        <v>47600</v>
      </c>
      <c r="L59" s="30"/>
      <c r="M59" s="32"/>
      <c r="N59" s="30">
        <f>SUM(B59:M59)</f>
        <v>47600</v>
      </c>
    </row>
    <row r="60" spans="1:14" s="1" customFormat="1" ht="13.5" customHeight="1">
      <c r="A60" s="3" t="s">
        <v>108</v>
      </c>
      <c r="B60" s="21"/>
      <c r="C60" s="21"/>
      <c r="D60" s="21"/>
      <c r="E60" s="43"/>
      <c r="F60" s="43"/>
      <c r="G60" s="43"/>
      <c r="H60" s="43"/>
      <c r="I60" s="21">
        <v>391877</v>
      </c>
      <c r="J60" s="45">
        <f>208498+152477+2842+15614</f>
        <v>379431</v>
      </c>
      <c r="K60" s="16"/>
      <c r="L60" s="16"/>
      <c r="M60" s="21"/>
      <c r="N60" s="19">
        <f>SUM(B60:M60)</f>
        <v>771308</v>
      </c>
    </row>
    <row r="61" spans="1:14" s="1" customFormat="1" ht="13.5">
      <c r="A61" s="25" t="s">
        <v>109</v>
      </c>
      <c r="B61" s="18">
        <f aca="true" t="shared" si="13" ref="B61:N61">B62+B68</f>
        <v>0</v>
      </c>
      <c r="C61" s="18">
        <f t="shared" si="13"/>
        <v>0</v>
      </c>
      <c r="D61" s="18">
        <f t="shared" si="13"/>
        <v>0</v>
      </c>
      <c r="E61" s="18">
        <f t="shared" si="13"/>
        <v>0</v>
      </c>
      <c r="F61" s="18">
        <f t="shared" si="13"/>
        <v>0</v>
      </c>
      <c r="G61" s="18">
        <f t="shared" si="13"/>
        <v>0</v>
      </c>
      <c r="H61" s="18">
        <f t="shared" si="13"/>
        <v>0</v>
      </c>
      <c r="I61" s="18">
        <f t="shared" si="13"/>
        <v>8121.2</v>
      </c>
      <c r="J61" s="18">
        <f t="shared" si="13"/>
        <v>2709</v>
      </c>
      <c r="K61" s="18">
        <f t="shared" si="13"/>
        <v>0</v>
      </c>
      <c r="L61" s="18">
        <f t="shared" si="13"/>
        <v>0</v>
      </c>
      <c r="M61" s="18">
        <f t="shared" si="13"/>
        <v>1840</v>
      </c>
      <c r="N61" s="18">
        <f t="shared" si="13"/>
        <v>12670.2</v>
      </c>
    </row>
    <row r="62" spans="1:14" s="1" customFormat="1" ht="27.75" customHeight="1">
      <c r="A62" s="4" t="s">
        <v>27</v>
      </c>
      <c r="B62" s="19">
        <f aca="true" t="shared" si="14" ref="B62:H62">SUM(B67:B67)</f>
        <v>0</v>
      </c>
      <c r="C62" s="19">
        <f t="shared" si="14"/>
        <v>0</v>
      </c>
      <c r="D62" s="19">
        <f t="shared" si="14"/>
        <v>0</v>
      </c>
      <c r="E62" s="19">
        <f t="shared" si="14"/>
        <v>0</v>
      </c>
      <c r="F62" s="19">
        <f t="shared" si="14"/>
        <v>0</v>
      </c>
      <c r="G62" s="19">
        <f t="shared" si="14"/>
        <v>0</v>
      </c>
      <c r="H62" s="19">
        <f t="shared" si="14"/>
        <v>0</v>
      </c>
      <c r="I62" s="19">
        <f aca="true" t="shared" si="15" ref="I62:N62">SUM(I63:I67)</f>
        <v>3226</v>
      </c>
      <c r="J62" s="19">
        <f t="shared" si="15"/>
        <v>2709</v>
      </c>
      <c r="K62" s="19">
        <f t="shared" si="15"/>
        <v>0</v>
      </c>
      <c r="L62" s="19">
        <f t="shared" si="15"/>
        <v>0</v>
      </c>
      <c r="M62" s="19">
        <f t="shared" si="15"/>
        <v>1840</v>
      </c>
      <c r="N62" s="19">
        <f t="shared" si="15"/>
        <v>7775.000000000001</v>
      </c>
    </row>
    <row r="63" spans="1:14" s="1" customFormat="1" ht="12.75">
      <c r="A63" s="48" t="s">
        <v>99</v>
      </c>
      <c r="B63" s="19"/>
      <c r="C63" s="49"/>
      <c r="D63" s="34"/>
      <c r="E63" s="34"/>
      <c r="F63" s="34"/>
      <c r="G63" s="34"/>
      <c r="H63" s="34"/>
      <c r="I63" s="36">
        <v>3226</v>
      </c>
      <c r="J63" s="34"/>
      <c r="K63" s="34"/>
      <c r="L63" s="34"/>
      <c r="M63" s="34"/>
      <c r="N63" s="30">
        <f aca="true" t="shared" si="16" ref="N63:N68">SUM(B63:M63)</f>
        <v>3226</v>
      </c>
    </row>
    <row r="64" spans="1:14" s="1" customFormat="1" ht="12.75">
      <c r="A64" s="48" t="s">
        <v>110</v>
      </c>
      <c r="B64" s="19"/>
      <c r="C64" s="49"/>
      <c r="D64" s="34"/>
      <c r="E64" s="34"/>
      <c r="F64" s="34"/>
      <c r="G64" s="34"/>
      <c r="H64" s="34"/>
      <c r="I64" s="36"/>
      <c r="J64" s="36">
        <v>1922.6</v>
      </c>
      <c r="K64" s="34"/>
      <c r="L64" s="34"/>
      <c r="M64" s="34"/>
      <c r="N64" s="30">
        <f t="shared" si="16"/>
        <v>1922.6</v>
      </c>
    </row>
    <row r="65" spans="1:14" s="1" customFormat="1" ht="12.75">
      <c r="A65" s="48" t="s">
        <v>111</v>
      </c>
      <c r="B65" s="19"/>
      <c r="C65" s="49"/>
      <c r="D65" s="34"/>
      <c r="E65" s="34"/>
      <c r="F65" s="34"/>
      <c r="G65" s="34"/>
      <c r="H65" s="34"/>
      <c r="I65" s="36"/>
      <c r="J65" s="36">
        <v>245.6</v>
      </c>
      <c r="K65" s="34"/>
      <c r="L65" s="34"/>
      <c r="M65" s="34"/>
      <c r="N65" s="30">
        <f t="shared" si="16"/>
        <v>245.6</v>
      </c>
    </row>
    <row r="66" spans="1:14" s="1" customFormat="1" ht="12.75">
      <c r="A66" s="48" t="s">
        <v>112</v>
      </c>
      <c r="B66" s="19"/>
      <c r="C66" s="49"/>
      <c r="D66" s="34"/>
      <c r="E66" s="34"/>
      <c r="F66" s="34"/>
      <c r="G66" s="34"/>
      <c r="H66" s="34"/>
      <c r="I66" s="36"/>
      <c r="J66" s="36">
        <v>540.8</v>
      </c>
      <c r="K66" s="34"/>
      <c r="L66" s="34"/>
      <c r="M66" s="34"/>
      <c r="N66" s="30">
        <f t="shared" si="16"/>
        <v>540.8</v>
      </c>
    </row>
    <row r="67" spans="1:14" s="1" customFormat="1" ht="12.75">
      <c r="A67" s="48" t="s">
        <v>126</v>
      </c>
      <c r="B67" s="19"/>
      <c r="C67" s="49"/>
      <c r="D67" s="34"/>
      <c r="E67" s="34"/>
      <c r="F67" s="34"/>
      <c r="G67" s="34"/>
      <c r="H67" s="34"/>
      <c r="I67" s="36"/>
      <c r="J67" s="36"/>
      <c r="K67" s="34"/>
      <c r="L67" s="34"/>
      <c r="M67" s="36">
        <v>1840</v>
      </c>
      <c r="N67" s="30">
        <f t="shared" si="16"/>
        <v>1840</v>
      </c>
    </row>
    <row r="68" spans="1:14" s="1" customFormat="1" ht="12.75">
      <c r="A68" s="3" t="s">
        <v>113</v>
      </c>
      <c r="B68" s="21"/>
      <c r="C68" s="21"/>
      <c r="D68" s="21"/>
      <c r="E68" s="43"/>
      <c r="F68" s="43"/>
      <c r="G68" s="43"/>
      <c r="H68" s="43"/>
      <c r="I68" s="43">
        <v>4895.2</v>
      </c>
      <c r="J68" s="16"/>
      <c r="K68" s="16"/>
      <c r="L68" s="16"/>
      <c r="M68" s="21"/>
      <c r="N68" s="19">
        <f t="shared" si="16"/>
        <v>4895.2</v>
      </c>
    </row>
    <row r="69" spans="1:14" s="1" customFormat="1" ht="13.5">
      <c r="A69" s="25" t="s">
        <v>114</v>
      </c>
      <c r="B69" s="18">
        <f>B70+B77+B76</f>
        <v>0</v>
      </c>
      <c r="C69" s="18">
        <f aca="true" t="shared" si="17" ref="C69:N69">C70+C77+C76</f>
        <v>0</v>
      </c>
      <c r="D69" s="18">
        <f t="shared" si="17"/>
        <v>0</v>
      </c>
      <c r="E69" s="18">
        <f t="shared" si="17"/>
        <v>0</v>
      </c>
      <c r="F69" s="18">
        <f t="shared" si="17"/>
        <v>0</v>
      </c>
      <c r="G69" s="18">
        <f t="shared" si="17"/>
        <v>0</v>
      </c>
      <c r="H69" s="18">
        <f t="shared" si="17"/>
        <v>0</v>
      </c>
      <c r="I69" s="18">
        <f t="shared" si="17"/>
        <v>73090.8</v>
      </c>
      <c r="J69" s="18">
        <f t="shared" si="17"/>
        <v>24381.000000000004</v>
      </c>
      <c r="K69" s="18">
        <f t="shared" si="17"/>
        <v>0</v>
      </c>
      <c r="L69" s="18">
        <f t="shared" si="17"/>
        <v>0</v>
      </c>
      <c r="M69" s="18">
        <f t="shared" si="17"/>
        <v>23760</v>
      </c>
      <c r="N69" s="18">
        <f t="shared" si="17"/>
        <v>121231.8</v>
      </c>
    </row>
    <row r="70" spans="1:14" s="1" customFormat="1" ht="27.75" customHeight="1">
      <c r="A70" s="4" t="s">
        <v>27</v>
      </c>
      <c r="B70" s="19">
        <f aca="true" t="shared" si="18" ref="B70:H70">SUM(B75:B75)</f>
        <v>0</v>
      </c>
      <c r="C70" s="19">
        <f t="shared" si="18"/>
        <v>0</v>
      </c>
      <c r="D70" s="19">
        <f t="shared" si="18"/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18"/>
        <v>0</v>
      </c>
      <c r="I70" s="19">
        <f aca="true" t="shared" si="19" ref="I70:N70">SUM(I71:I75)</f>
        <v>29034</v>
      </c>
      <c r="J70" s="19">
        <f t="shared" si="19"/>
        <v>24381.000000000004</v>
      </c>
      <c r="K70" s="19">
        <f t="shared" si="19"/>
        <v>0</v>
      </c>
      <c r="L70" s="19">
        <f t="shared" si="19"/>
        <v>0</v>
      </c>
      <c r="M70" s="19">
        <f t="shared" si="19"/>
        <v>16560</v>
      </c>
      <c r="N70" s="19">
        <f t="shared" si="19"/>
        <v>69975</v>
      </c>
    </row>
    <row r="71" spans="1:14" s="1" customFormat="1" ht="12.75">
      <c r="A71" s="48" t="s">
        <v>99</v>
      </c>
      <c r="B71" s="19"/>
      <c r="C71" s="49"/>
      <c r="D71" s="34"/>
      <c r="E71" s="34"/>
      <c r="F71" s="34"/>
      <c r="G71" s="34"/>
      <c r="H71" s="34"/>
      <c r="I71" s="36">
        <v>29034</v>
      </c>
      <c r="J71" s="34"/>
      <c r="K71" s="34"/>
      <c r="L71" s="34"/>
      <c r="M71" s="34"/>
      <c r="N71" s="30">
        <f aca="true" t="shared" si="20" ref="N71:N77">SUM(B71:M71)</f>
        <v>29034</v>
      </c>
    </row>
    <row r="72" spans="1:14" s="1" customFormat="1" ht="12.75">
      <c r="A72" s="48" t="s">
        <v>110</v>
      </c>
      <c r="B72" s="19"/>
      <c r="C72" s="49"/>
      <c r="D72" s="34"/>
      <c r="E72" s="34"/>
      <c r="F72" s="34"/>
      <c r="G72" s="34"/>
      <c r="H72" s="34"/>
      <c r="I72" s="36"/>
      <c r="J72" s="36">
        <v>17303.4</v>
      </c>
      <c r="K72" s="34"/>
      <c r="L72" s="34"/>
      <c r="M72" s="34"/>
      <c r="N72" s="30">
        <f t="shared" si="20"/>
        <v>17303.4</v>
      </c>
    </row>
    <row r="73" spans="1:14" s="1" customFormat="1" ht="12.75">
      <c r="A73" s="48" t="s">
        <v>111</v>
      </c>
      <c r="B73" s="19"/>
      <c r="C73" s="49"/>
      <c r="D73" s="34"/>
      <c r="E73" s="34"/>
      <c r="F73" s="34"/>
      <c r="G73" s="34"/>
      <c r="H73" s="34"/>
      <c r="I73" s="36"/>
      <c r="J73" s="36">
        <v>2210.4</v>
      </c>
      <c r="K73" s="34"/>
      <c r="L73" s="34"/>
      <c r="M73" s="34"/>
      <c r="N73" s="30">
        <f t="shared" si="20"/>
        <v>2210.4</v>
      </c>
    </row>
    <row r="74" spans="1:14" s="1" customFormat="1" ht="12.75">
      <c r="A74" s="48" t="s">
        <v>112</v>
      </c>
      <c r="B74" s="19"/>
      <c r="C74" s="49"/>
      <c r="D74" s="34"/>
      <c r="E74" s="34"/>
      <c r="F74" s="34"/>
      <c r="G74" s="34"/>
      <c r="H74" s="34"/>
      <c r="I74" s="36"/>
      <c r="J74" s="36">
        <v>4867.2</v>
      </c>
      <c r="K74" s="34"/>
      <c r="L74" s="34"/>
      <c r="M74" s="34"/>
      <c r="N74" s="30">
        <f t="shared" si="20"/>
        <v>4867.2</v>
      </c>
    </row>
    <row r="75" spans="1:14" s="1" customFormat="1" ht="12.75">
      <c r="A75" s="48" t="s">
        <v>126</v>
      </c>
      <c r="B75" s="19"/>
      <c r="C75" s="49"/>
      <c r="D75" s="34"/>
      <c r="E75" s="34"/>
      <c r="F75" s="34"/>
      <c r="G75" s="34"/>
      <c r="H75" s="34"/>
      <c r="I75" s="36"/>
      <c r="J75" s="36"/>
      <c r="K75" s="34"/>
      <c r="L75" s="34"/>
      <c r="M75" s="36">
        <v>16560</v>
      </c>
      <c r="N75" s="30">
        <f t="shared" si="20"/>
        <v>16560</v>
      </c>
    </row>
    <row r="76" spans="1:14" s="1" customFormat="1" ht="12.75">
      <c r="A76" s="3" t="s">
        <v>127</v>
      </c>
      <c r="B76" s="21"/>
      <c r="C76" s="21"/>
      <c r="D76" s="21"/>
      <c r="E76" s="43"/>
      <c r="F76" s="43"/>
      <c r="G76" s="43"/>
      <c r="H76" s="43"/>
      <c r="I76" s="43"/>
      <c r="J76" s="16"/>
      <c r="K76" s="16"/>
      <c r="L76" s="16"/>
      <c r="M76" s="21">
        <v>7200</v>
      </c>
      <c r="N76" s="19">
        <f t="shared" si="20"/>
        <v>7200</v>
      </c>
    </row>
    <row r="77" spans="1:14" s="1" customFormat="1" ht="12.75">
      <c r="A77" s="3" t="s">
        <v>113</v>
      </c>
      <c r="B77" s="21"/>
      <c r="C77" s="21"/>
      <c r="D77" s="21"/>
      <c r="E77" s="43"/>
      <c r="F77" s="43"/>
      <c r="G77" s="43"/>
      <c r="H77" s="43"/>
      <c r="I77" s="43">
        <v>44056.8</v>
      </c>
      <c r="J77" s="16"/>
      <c r="K77" s="16"/>
      <c r="L77" s="16"/>
      <c r="M77" s="21"/>
      <c r="N77" s="19">
        <f t="shared" si="20"/>
        <v>44056.8</v>
      </c>
    </row>
    <row r="78" spans="1:14" s="1" customFormat="1" ht="12.75">
      <c r="A78" s="14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5"/>
      <c r="N78" s="12"/>
    </row>
    <row r="79" spans="1:3" s="1" customFormat="1" ht="12.75">
      <c r="A79" s="11" t="s">
        <v>24</v>
      </c>
      <c r="C79" s="1" t="s">
        <v>25</v>
      </c>
    </row>
    <row r="80" spans="1:14" s="1" customFormat="1" ht="12.75">
      <c r="A80" s="14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5"/>
      <c r="N80" s="12"/>
    </row>
    <row r="81" spans="1:5" s="1" customFormat="1" ht="12.75">
      <c r="A81" s="11" t="s">
        <v>91</v>
      </c>
      <c r="C81" s="1" t="s">
        <v>25</v>
      </c>
      <c r="E81" s="1">
        <v>991643928</v>
      </c>
    </row>
    <row r="82" spans="1:14" s="1" customFormat="1" ht="25.5">
      <c r="A82" s="56" t="s">
        <v>31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1:14" s="1" customFormat="1" ht="25.5">
      <c r="A83" s="56" t="s">
        <v>36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4" s="1" customFormat="1" ht="12.7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2" t="s">
        <v>5</v>
      </c>
      <c r="G84" s="2" t="s">
        <v>6</v>
      </c>
      <c r="H84" s="2" t="s">
        <v>7</v>
      </c>
      <c r="I84" s="2" t="s">
        <v>8</v>
      </c>
      <c r="J84" s="2" t="s">
        <v>9</v>
      </c>
      <c r="K84" s="2" t="s">
        <v>10</v>
      </c>
      <c r="L84" s="2" t="s">
        <v>11</v>
      </c>
      <c r="M84" s="2" t="s">
        <v>12</v>
      </c>
      <c r="N84" s="2" t="s">
        <v>13</v>
      </c>
    </row>
    <row r="85" spans="1:14" s="1" customFormat="1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s="1" customFormat="1" ht="13.5">
      <c r="A86" s="25" t="s">
        <v>34</v>
      </c>
      <c r="B86" s="18">
        <f>B87+B197+B198+B200</f>
        <v>0</v>
      </c>
      <c r="C86" s="18">
        <f aca="true" t="shared" si="21" ref="C86:N86">C87+C197+C198+C200</f>
        <v>62522.3</v>
      </c>
      <c r="D86" s="18">
        <f t="shared" si="21"/>
        <v>20680</v>
      </c>
      <c r="E86" s="18">
        <f t="shared" si="21"/>
        <v>36260.5</v>
      </c>
      <c r="F86" s="18">
        <f t="shared" si="21"/>
        <v>21204.3</v>
      </c>
      <c r="G86" s="18">
        <f t="shared" si="21"/>
        <v>23845</v>
      </c>
      <c r="H86" s="18">
        <f t="shared" si="21"/>
        <v>3258.5</v>
      </c>
      <c r="I86" s="18">
        <f t="shared" si="21"/>
        <v>0</v>
      </c>
      <c r="J86" s="18">
        <f t="shared" si="21"/>
        <v>37500</v>
      </c>
      <c r="K86" s="18">
        <f t="shared" si="21"/>
        <v>75000</v>
      </c>
      <c r="L86" s="18">
        <f t="shared" si="21"/>
        <v>21311</v>
      </c>
      <c r="M86" s="18">
        <f t="shared" si="21"/>
        <v>30000</v>
      </c>
      <c r="N86" s="18">
        <f t="shared" si="21"/>
        <v>331581.6</v>
      </c>
    </row>
    <row r="87" spans="1:14" s="1" customFormat="1" ht="27.75" customHeight="1">
      <c r="A87" s="35" t="s">
        <v>27</v>
      </c>
      <c r="B87" s="33">
        <f>SUM(B88:B196)</f>
        <v>0</v>
      </c>
      <c r="C87" s="33">
        <f aca="true" t="shared" si="22" ref="C87:N87">SUM(C88:C196)</f>
        <v>2522.3</v>
      </c>
      <c r="D87" s="33">
        <f t="shared" si="22"/>
        <v>680</v>
      </c>
      <c r="E87" s="33">
        <f t="shared" si="22"/>
        <v>1353.5</v>
      </c>
      <c r="F87" s="33">
        <f t="shared" si="22"/>
        <v>1204.3</v>
      </c>
      <c r="G87" s="33">
        <f t="shared" si="22"/>
        <v>1845</v>
      </c>
      <c r="H87" s="33">
        <f t="shared" si="22"/>
        <v>3258.5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2983</v>
      </c>
      <c r="M87" s="33">
        <f t="shared" si="22"/>
        <v>0</v>
      </c>
      <c r="N87" s="33">
        <f t="shared" si="22"/>
        <v>13846.6</v>
      </c>
    </row>
    <row r="88" spans="1:14" s="1" customFormat="1" ht="12.75">
      <c r="A88" s="38" t="s">
        <v>90</v>
      </c>
      <c r="B88" s="34"/>
      <c r="C88" s="36"/>
      <c r="D88" s="36"/>
      <c r="E88" s="36"/>
      <c r="F88" s="36"/>
      <c r="G88" s="36">
        <v>935</v>
      </c>
      <c r="H88" s="36"/>
      <c r="I88" s="36"/>
      <c r="J88" s="36"/>
      <c r="K88" s="36"/>
      <c r="L88" s="36"/>
      <c r="M88" s="36"/>
      <c r="N88" s="40">
        <f>SUM(B88:M88)</f>
        <v>935</v>
      </c>
    </row>
    <row r="89" spans="1:14" s="1" customFormat="1" ht="12.75">
      <c r="A89" s="38" t="s">
        <v>37</v>
      </c>
      <c r="B89" s="34"/>
      <c r="C89" s="36">
        <v>938</v>
      </c>
      <c r="D89" s="36"/>
      <c r="E89" s="36"/>
      <c r="F89" s="36"/>
      <c r="G89" s="36">
        <v>550</v>
      </c>
      <c r="H89" s="36"/>
      <c r="I89" s="36"/>
      <c r="J89" s="36"/>
      <c r="K89" s="36"/>
      <c r="L89" s="36"/>
      <c r="M89" s="36"/>
      <c r="N89" s="40">
        <f aca="true" t="shared" si="23" ref="N89:N124">SUM(B89:M89)</f>
        <v>1488</v>
      </c>
    </row>
    <row r="90" spans="1:14" s="1" customFormat="1" ht="12.75">
      <c r="A90" s="38" t="s">
        <v>38</v>
      </c>
      <c r="B90" s="34"/>
      <c r="C90" s="36">
        <v>120</v>
      </c>
      <c r="D90" s="36"/>
      <c r="E90" s="36"/>
      <c r="F90" s="36"/>
      <c r="G90" s="36">
        <v>240</v>
      </c>
      <c r="H90" s="36"/>
      <c r="I90" s="36"/>
      <c r="J90" s="36"/>
      <c r="K90" s="36"/>
      <c r="L90" s="36"/>
      <c r="M90" s="36"/>
      <c r="N90" s="40">
        <f t="shared" si="23"/>
        <v>360</v>
      </c>
    </row>
    <row r="91" spans="1:14" s="1" customFormat="1" ht="12.75">
      <c r="A91" s="38" t="s">
        <v>39</v>
      </c>
      <c r="B91" s="34"/>
      <c r="C91" s="36">
        <v>60</v>
      </c>
      <c r="D91" s="36"/>
      <c r="E91" s="36"/>
      <c r="F91" s="36"/>
      <c r="G91" s="36">
        <v>120</v>
      </c>
      <c r="H91" s="36"/>
      <c r="I91" s="36"/>
      <c r="J91" s="36"/>
      <c r="K91" s="36"/>
      <c r="L91" s="36"/>
      <c r="M91" s="36"/>
      <c r="N91" s="40">
        <f t="shared" si="23"/>
        <v>180</v>
      </c>
    </row>
    <row r="92" spans="1:14" s="1" customFormat="1" ht="12.75">
      <c r="A92" s="38" t="s">
        <v>40</v>
      </c>
      <c r="B92" s="34"/>
      <c r="C92" s="37">
        <v>96</v>
      </c>
      <c r="D92" s="36"/>
      <c r="E92" s="36"/>
      <c r="F92" s="36">
        <v>96</v>
      </c>
      <c r="G92" s="36"/>
      <c r="H92" s="36"/>
      <c r="I92" s="36"/>
      <c r="J92" s="36"/>
      <c r="K92" s="36"/>
      <c r="L92" s="36">
        <v>92</v>
      </c>
      <c r="M92" s="36"/>
      <c r="N92" s="40">
        <f t="shared" si="23"/>
        <v>284</v>
      </c>
    </row>
    <row r="93" spans="1:14" s="1" customFormat="1" ht="12.75">
      <c r="A93" s="38" t="s">
        <v>41</v>
      </c>
      <c r="B93" s="34"/>
      <c r="C93" s="37">
        <v>27</v>
      </c>
      <c r="D93" s="36"/>
      <c r="E93" s="36"/>
      <c r="F93" s="36">
        <v>27</v>
      </c>
      <c r="G93" s="36"/>
      <c r="H93" s="36"/>
      <c r="I93" s="36"/>
      <c r="J93" s="36"/>
      <c r="K93" s="36"/>
      <c r="L93" s="36">
        <v>27</v>
      </c>
      <c r="M93" s="36"/>
      <c r="N93" s="40">
        <f t="shared" si="23"/>
        <v>81</v>
      </c>
    </row>
    <row r="94" spans="1:14" s="1" customFormat="1" ht="12.75">
      <c r="A94" s="38" t="s">
        <v>42</v>
      </c>
      <c r="B94" s="34"/>
      <c r="C94" s="37">
        <v>30</v>
      </c>
      <c r="D94" s="36"/>
      <c r="E94" s="36">
        <v>48</v>
      </c>
      <c r="F94" s="36">
        <v>30</v>
      </c>
      <c r="G94" s="36"/>
      <c r="H94" s="36">
        <v>34</v>
      </c>
      <c r="I94" s="36"/>
      <c r="J94" s="36"/>
      <c r="K94" s="36"/>
      <c r="L94" s="36">
        <v>66</v>
      </c>
      <c r="M94" s="36"/>
      <c r="N94" s="40">
        <f t="shared" si="23"/>
        <v>208</v>
      </c>
    </row>
    <row r="95" spans="1:14" s="1" customFormat="1" ht="12.75">
      <c r="A95" s="38" t="s">
        <v>43</v>
      </c>
      <c r="B95" s="34"/>
      <c r="C95" s="37">
        <v>4.8</v>
      </c>
      <c r="D95" s="36"/>
      <c r="E95" s="36"/>
      <c r="F95" s="36">
        <v>4.8</v>
      </c>
      <c r="G95" s="36"/>
      <c r="H95" s="36"/>
      <c r="I95" s="36"/>
      <c r="J95" s="36"/>
      <c r="K95" s="36"/>
      <c r="L95" s="36"/>
      <c r="M95" s="36"/>
      <c r="N95" s="40">
        <f t="shared" si="23"/>
        <v>9.6</v>
      </c>
    </row>
    <row r="96" spans="1:14" s="1" customFormat="1" ht="12.75">
      <c r="A96" s="38" t="s">
        <v>44</v>
      </c>
      <c r="B96" s="34"/>
      <c r="C96" s="37">
        <v>1.5</v>
      </c>
      <c r="D96" s="36"/>
      <c r="E96" s="36"/>
      <c r="F96" s="36">
        <v>1.5</v>
      </c>
      <c r="G96" s="36"/>
      <c r="H96" s="36"/>
      <c r="I96" s="36"/>
      <c r="J96" s="36"/>
      <c r="K96" s="36"/>
      <c r="L96" s="36"/>
      <c r="M96" s="36"/>
      <c r="N96" s="40">
        <f t="shared" si="23"/>
        <v>3</v>
      </c>
    </row>
    <row r="97" spans="1:14" s="1" customFormat="1" ht="12.75">
      <c r="A97" s="38" t="s">
        <v>45</v>
      </c>
      <c r="B97" s="34"/>
      <c r="C97" s="37">
        <v>198</v>
      </c>
      <c r="D97" s="36"/>
      <c r="E97" s="36"/>
      <c r="F97" s="36">
        <v>198</v>
      </c>
      <c r="G97" s="36"/>
      <c r="H97" s="36"/>
      <c r="I97" s="36"/>
      <c r="J97" s="36"/>
      <c r="K97" s="36"/>
      <c r="L97" s="36"/>
      <c r="M97" s="36"/>
      <c r="N97" s="40">
        <f t="shared" si="23"/>
        <v>396</v>
      </c>
    </row>
    <row r="98" spans="1:14" s="1" customFormat="1" ht="12.75">
      <c r="A98" s="38" t="s">
        <v>46</v>
      </c>
      <c r="B98" s="34"/>
      <c r="C98" s="37">
        <v>17</v>
      </c>
      <c r="D98" s="36"/>
      <c r="E98" s="36"/>
      <c r="F98" s="36">
        <v>17</v>
      </c>
      <c r="G98" s="36"/>
      <c r="H98" s="36"/>
      <c r="I98" s="36"/>
      <c r="J98" s="36"/>
      <c r="K98" s="36"/>
      <c r="L98" s="36">
        <v>27</v>
      </c>
      <c r="M98" s="36"/>
      <c r="N98" s="40">
        <f t="shared" si="23"/>
        <v>61</v>
      </c>
    </row>
    <row r="99" spans="1:14" s="1" customFormat="1" ht="12.75">
      <c r="A99" s="38" t="s">
        <v>47</v>
      </c>
      <c r="B99" s="34"/>
      <c r="C99" s="37">
        <v>19</v>
      </c>
      <c r="D99" s="36"/>
      <c r="E99" s="36">
        <v>4</v>
      </c>
      <c r="F99" s="36">
        <v>19</v>
      </c>
      <c r="G99" s="36"/>
      <c r="H99" s="36"/>
      <c r="I99" s="36"/>
      <c r="J99" s="36"/>
      <c r="K99" s="36"/>
      <c r="L99" s="36">
        <v>21</v>
      </c>
      <c r="M99" s="36"/>
      <c r="N99" s="40">
        <f t="shared" si="23"/>
        <v>63</v>
      </c>
    </row>
    <row r="100" spans="1:14" s="1" customFormat="1" ht="12.75">
      <c r="A100" s="38" t="s">
        <v>38</v>
      </c>
      <c r="B100" s="34"/>
      <c r="C100" s="37">
        <v>12</v>
      </c>
      <c r="D100" s="36"/>
      <c r="E100" s="36"/>
      <c r="F100" s="36">
        <v>12</v>
      </c>
      <c r="G100" s="36"/>
      <c r="H100" s="36"/>
      <c r="I100" s="36"/>
      <c r="J100" s="36"/>
      <c r="K100" s="36"/>
      <c r="L100" s="36"/>
      <c r="M100" s="36"/>
      <c r="N100" s="40">
        <f t="shared" si="23"/>
        <v>24</v>
      </c>
    </row>
    <row r="101" spans="1:14" s="1" customFormat="1" ht="12.75">
      <c r="A101" s="38" t="s">
        <v>48</v>
      </c>
      <c r="B101" s="34"/>
      <c r="C101" s="37">
        <v>86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40">
        <f t="shared" si="23"/>
        <v>86</v>
      </c>
    </row>
    <row r="102" spans="1:14" s="1" customFormat="1" ht="12.75">
      <c r="A102" s="38" t="s">
        <v>49</v>
      </c>
      <c r="B102" s="34"/>
      <c r="C102" s="37">
        <v>20</v>
      </c>
      <c r="D102" s="36"/>
      <c r="E102" s="36"/>
      <c r="F102" s="36">
        <v>20</v>
      </c>
      <c r="G102" s="36"/>
      <c r="H102" s="36"/>
      <c r="I102" s="36"/>
      <c r="J102" s="36"/>
      <c r="K102" s="36"/>
      <c r="L102" s="36"/>
      <c r="M102" s="36"/>
      <c r="N102" s="40">
        <f t="shared" si="23"/>
        <v>40</v>
      </c>
    </row>
    <row r="103" spans="1:14" s="1" customFormat="1" ht="12.75">
      <c r="A103" s="38" t="s">
        <v>50</v>
      </c>
      <c r="B103" s="34"/>
      <c r="C103" s="37">
        <v>68</v>
      </c>
      <c r="D103" s="36"/>
      <c r="E103" s="36"/>
      <c r="F103" s="36">
        <v>68</v>
      </c>
      <c r="G103" s="36"/>
      <c r="H103" s="36"/>
      <c r="I103" s="36"/>
      <c r="J103" s="36"/>
      <c r="K103" s="36"/>
      <c r="L103" s="36"/>
      <c r="M103" s="36"/>
      <c r="N103" s="40">
        <f t="shared" si="23"/>
        <v>136</v>
      </c>
    </row>
    <row r="104" spans="1:14" s="1" customFormat="1" ht="12.75">
      <c r="A104" s="38" t="s">
        <v>51</v>
      </c>
      <c r="B104" s="34"/>
      <c r="C104" s="37">
        <v>17</v>
      </c>
      <c r="D104" s="36"/>
      <c r="E104" s="36"/>
      <c r="F104" s="36">
        <v>17</v>
      </c>
      <c r="G104" s="36"/>
      <c r="H104" s="36"/>
      <c r="I104" s="36"/>
      <c r="J104" s="36"/>
      <c r="K104" s="36"/>
      <c r="L104" s="36"/>
      <c r="M104" s="36"/>
      <c r="N104" s="40">
        <f t="shared" si="23"/>
        <v>34</v>
      </c>
    </row>
    <row r="105" spans="1:14" s="1" customFormat="1" ht="12.75">
      <c r="A105" s="38" t="s">
        <v>52</v>
      </c>
      <c r="B105" s="34"/>
      <c r="C105" s="37">
        <v>25</v>
      </c>
      <c r="D105" s="36"/>
      <c r="E105" s="36"/>
      <c r="F105" s="36">
        <v>25</v>
      </c>
      <c r="G105" s="36"/>
      <c r="H105" s="36"/>
      <c r="I105" s="36"/>
      <c r="J105" s="36"/>
      <c r="K105" s="36"/>
      <c r="L105" s="36"/>
      <c r="M105" s="36"/>
      <c r="N105" s="40">
        <f t="shared" si="23"/>
        <v>50</v>
      </c>
    </row>
    <row r="106" spans="1:14" s="1" customFormat="1" ht="12.75">
      <c r="A106" s="38" t="s">
        <v>53</v>
      </c>
      <c r="B106" s="34"/>
      <c r="C106" s="37">
        <v>42</v>
      </c>
      <c r="D106" s="36"/>
      <c r="E106" s="36"/>
      <c r="F106" s="36">
        <v>42</v>
      </c>
      <c r="G106" s="36"/>
      <c r="H106" s="36"/>
      <c r="I106" s="36"/>
      <c r="J106" s="36"/>
      <c r="K106" s="36"/>
      <c r="L106" s="36"/>
      <c r="M106" s="36"/>
      <c r="N106" s="40">
        <f t="shared" si="23"/>
        <v>84</v>
      </c>
    </row>
    <row r="107" spans="1:14" s="1" customFormat="1" ht="12.75">
      <c r="A107" s="38" t="s">
        <v>54</v>
      </c>
      <c r="B107" s="34"/>
      <c r="C107" s="37">
        <v>10</v>
      </c>
      <c r="D107" s="36"/>
      <c r="E107" s="36"/>
      <c r="F107" s="36">
        <v>10</v>
      </c>
      <c r="G107" s="36"/>
      <c r="H107" s="36"/>
      <c r="I107" s="36"/>
      <c r="J107" s="36"/>
      <c r="K107" s="36"/>
      <c r="L107" s="36"/>
      <c r="M107" s="36"/>
      <c r="N107" s="40">
        <f t="shared" si="23"/>
        <v>20</v>
      </c>
    </row>
    <row r="108" spans="1:14" s="1" customFormat="1" ht="12.75">
      <c r="A108" s="38" t="s">
        <v>55</v>
      </c>
      <c r="B108" s="34"/>
      <c r="C108" s="37">
        <v>15</v>
      </c>
      <c r="D108" s="36"/>
      <c r="E108" s="36"/>
      <c r="F108" s="36">
        <v>15</v>
      </c>
      <c r="G108" s="36"/>
      <c r="H108" s="36"/>
      <c r="I108" s="36"/>
      <c r="J108" s="36"/>
      <c r="K108" s="36"/>
      <c r="L108" s="36"/>
      <c r="M108" s="36"/>
      <c r="N108" s="40">
        <f t="shared" si="23"/>
        <v>30</v>
      </c>
    </row>
    <row r="109" spans="1:14" s="1" customFormat="1" ht="12.75">
      <c r="A109" s="38" t="s">
        <v>56</v>
      </c>
      <c r="B109" s="34"/>
      <c r="C109" s="37">
        <v>85</v>
      </c>
      <c r="D109" s="36"/>
      <c r="E109" s="36"/>
      <c r="F109" s="36">
        <v>85</v>
      </c>
      <c r="G109" s="36"/>
      <c r="H109" s="36">
        <v>165</v>
      </c>
      <c r="I109" s="36"/>
      <c r="J109" s="36"/>
      <c r="K109" s="36"/>
      <c r="L109" s="36"/>
      <c r="M109" s="36"/>
      <c r="N109" s="40">
        <f t="shared" si="23"/>
        <v>335</v>
      </c>
    </row>
    <row r="110" spans="1:14" s="1" customFormat="1" ht="12.75">
      <c r="A110" s="38" t="s">
        <v>57</v>
      </c>
      <c r="B110" s="34"/>
      <c r="C110" s="37">
        <v>75</v>
      </c>
      <c r="D110" s="36"/>
      <c r="E110" s="36"/>
      <c r="F110" s="36">
        <v>75</v>
      </c>
      <c r="G110" s="36"/>
      <c r="H110" s="36"/>
      <c r="I110" s="36"/>
      <c r="J110" s="36"/>
      <c r="K110" s="36"/>
      <c r="L110" s="36"/>
      <c r="M110" s="36"/>
      <c r="N110" s="40">
        <f t="shared" si="23"/>
        <v>150</v>
      </c>
    </row>
    <row r="111" spans="1:14" s="1" customFormat="1" ht="12.75">
      <c r="A111" s="38" t="s">
        <v>58</v>
      </c>
      <c r="B111" s="34"/>
      <c r="C111" s="37">
        <v>75</v>
      </c>
      <c r="D111" s="36"/>
      <c r="E111" s="36"/>
      <c r="F111" s="36">
        <v>30</v>
      </c>
      <c r="G111" s="36"/>
      <c r="H111" s="36"/>
      <c r="I111" s="36"/>
      <c r="J111" s="36"/>
      <c r="K111" s="36"/>
      <c r="L111" s="36"/>
      <c r="M111" s="36"/>
      <c r="N111" s="40">
        <f t="shared" si="23"/>
        <v>105</v>
      </c>
    </row>
    <row r="112" spans="1:14" s="1" customFormat="1" ht="12.75">
      <c r="A112" s="38" t="s">
        <v>46</v>
      </c>
      <c r="B112" s="34"/>
      <c r="C112" s="37">
        <v>72</v>
      </c>
      <c r="D112" s="36"/>
      <c r="E112" s="36"/>
      <c r="F112" s="36">
        <v>72</v>
      </c>
      <c r="G112" s="36"/>
      <c r="H112" s="36"/>
      <c r="I112" s="36"/>
      <c r="J112" s="36"/>
      <c r="K112" s="36"/>
      <c r="L112" s="36">
        <v>87</v>
      </c>
      <c r="M112" s="36"/>
      <c r="N112" s="40">
        <f t="shared" si="23"/>
        <v>231</v>
      </c>
    </row>
    <row r="113" spans="1:14" s="1" customFormat="1" ht="12.75">
      <c r="A113" s="38" t="s">
        <v>59</v>
      </c>
      <c r="B113" s="34"/>
      <c r="C113" s="37">
        <v>15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40">
        <f t="shared" si="23"/>
        <v>15</v>
      </c>
    </row>
    <row r="114" spans="1:14" s="1" customFormat="1" ht="12.75">
      <c r="A114" s="38" t="s">
        <v>60</v>
      </c>
      <c r="B114" s="34"/>
      <c r="C114" s="37">
        <v>10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40">
        <f t="shared" si="23"/>
        <v>10</v>
      </c>
    </row>
    <row r="115" spans="1:14" s="1" customFormat="1" ht="12.75">
      <c r="A115" s="38" t="s">
        <v>61</v>
      </c>
      <c r="B115" s="34"/>
      <c r="C115" s="37">
        <v>66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40">
        <f t="shared" si="23"/>
        <v>66</v>
      </c>
    </row>
    <row r="116" spans="1:14" s="1" customFormat="1" ht="12.75">
      <c r="A116" s="38" t="s">
        <v>62</v>
      </c>
      <c r="B116" s="34"/>
      <c r="C116" s="37">
        <v>39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40">
        <f t="shared" si="23"/>
        <v>39</v>
      </c>
    </row>
    <row r="117" spans="1:14" s="1" customFormat="1" ht="12.75">
      <c r="A117" s="38" t="s">
        <v>63</v>
      </c>
      <c r="B117" s="34"/>
      <c r="C117" s="37">
        <v>15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40">
        <f t="shared" si="23"/>
        <v>15</v>
      </c>
    </row>
    <row r="118" spans="1:14" s="1" customFormat="1" ht="12.75">
      <c r="A118" s="38" t="s">
        <v>64</v>
      </c>
      <c r="B118" s="34"/>
      <c r="C118" s="37">
        <v>25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40">
        <f t="shared" si="23"/>
        <v>25</v>
      </c>
    </row>
    <row r="119" spans="1:14" s="1" customFormat="1" ht="12.75">
      <c r="A119" s="38" t="s">
        <v>65</v>
      </c>
      <c r="B119" s="34"/>
      <c r="C119" s="37">
        <v>57</v>
      </c>
      <c r="D119" s="36"/>
      <c r="E119" s="36"/>
      <c r="F119" s="36">
        <v>40</v>
      </c>
      <c r="G119" s="36"/>
      <c r="H119" s="36">
        <v>51.5</v>
      </c>
      <c r="I119" s="36"/>
      <c r="J119" s="36"/>
      <c r="K119" s="36"/>
      <c r="L119" s="36"/>
      <c r="M119" s="36"/>
      <c r="N119" s="40">
        <f t="shared" si="23"/>
        <v>148.5</v>
      </c>
    </row>
    <row r="120" spans="1:14" s="1" customFormat="1" ht="12.75">
      <c r="A120" s="38" t="s">
        <v>66</v>
      </c>
      <c r="B120" s="34"/>
      <c r="C120" s="37">
        <v>35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40">
        <f t="shared" si="23"/>
        <v>35</v>
      </c>
    </row>
    <row r="121" spans="1:14" s="1" customFormat="1" ht="12.75">
      <c r="A121" s="38" t="s">
        <v>67</v>
      </c>
      <c r="B121" s="34"/>
      <c r="C121" s="37">
        <v>93</v>
      </c>
      <c r="D121" s="36"/>
      <c r="E121" s="36">
        <v>155</v>
      </c>
      <c r="F121" s="36"/>
      <c r="G121" s="36"/>
      <c r="H121" s="36">
        <v>150</v>
      </c>
      <c r="I121" s="36"/>
      <c r="J121" s="36"/>
      <c r="K121" s="36"/>
      <c r="L121" s="36">
        <v>145</v>
      </c>
      <c r="M121" s="36"/>
      <c r="N121" s="40">
        <f t="shared" si="23"/>
        <v>543</v>
      </c>
    </row>
    <row r="122" spans="1:14" s="1" customFormat="1" ht="12.75">
      <c r="A122" s="38" t="s">
        <v>68</v>
      </c>
      <c r="B122" s="34"/>
      <c r="C122" s="37">
        <v>54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40">
        <f t="shared" si="23"/>
        <v>54</v>
      </c>
    </row>
    <row r="123" spans="1:14" s="1" customFormat="1" ht="12.75">
      <c r="A123" s="39" t="s">
        <v>69</v>
      </c>
      <c r="B123" s="34"/>
      <c r="C123" s="36"/>
      <c r="D123" s="36">
        <v>680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40">
        <f t="shared" si="23"/>
        <v>680</v>
      </c>
    </row>
    <row r="124" spans="1:14" s="1" customFormat="1" ht="12.75">
      <c r="A124" s="38" t="s">
        <v>74</v>
      </c>
      <c r="B124" s="34"/>
      <c r="C124" s="37"/>
      <c r="D124" s="36"/>
      <c r="E124" s="36">
        <v>300</v>
      </c>
      <c r="F124" s="36"/>
      <c r="G124" s="36"/>
      <c r="H124" s="36"/>
      <c r="I124" s="36"/>
      <c r="J124" s="36"/>
      <c r="K124" s="36"/>
      <c r="L124" s="36"/>
      <c r="M124" s="36"/>
      <c r="N124" s="40">
        <f t="shared" si="23"/>
        <v>300</v>
      </c>
    </row>
    <row r="125" spans="1:14" s="1" customFormat="1" ht="12.75">
      <c r="A125" s="38" t="s">
        <v>75</v>
      </c>
      <c r="B125" s="34"/>
      <c r="C125" s="37"/>
      <c r="D125" s="36"/>
      <c r="E125" s="36">
        <v>3</v>
      </c>
      <c r="F125" s="36"/>
      <c r="G125" s="36"/>
      <c r="H125" s="36"/>
      <c r="I125" s="36"/>
      <c r="J125" s="36"/>
      <c r="K125" s="36"/>
      <c r="L125" s="36"/>
      <c r="M125" s="36"/>
      <c r="N125" s="40">
        <f>SUM(B125:M125)</f>
        <v>3</v>
      </c>
    </row>
    <row r="126" spans="1:14" s="1" customFormat="1" ht="12.75">
      <c r="A126" s="38" t="s">
        <v>75</v>
      </c>
      <c r="B126" s="34"/>
      <c r="C126" s="37"/>
      <c r="D126" s="36"/>
      <c r="E126" s="36">
        <v>4.5</v>
      </c>
      <c r="F126" s="36"/>
      <c r="G126" s="36"/>
      <c r="H126" s="36"/>
      <c r="I126" s="36"/>
      <c r="J126" s="36"/>
      <c r="K126" s="36"/>
      <c r="L126" s="36"/>
      <c r="M126" s="36"/>
      <c r="N126" s="40">
        <f aca="true" t="shared" si="24" ref="N126:N133">SUM(B126:M126)</f>
        <v>4.5</v>
      </c>
    </row>
    <row r="127" spans="1:14" s="1" customFormat="1" ht="12.75">
      <c r="A127" s="38" t="s">
        <v>76</v>
      </c>
      <c r="B127" s="34"/>
      <c r="C127" s="37"/>
      <c r="D127" s="36"/>
      <c r="E127" s="36">
        <v>520</v>
      </c>
      <c r="F127" s="36"/>
      <c r="G127" s="36"/>
      <c r="H127" s="36"/>
      <c r="I127" s="36"/>
      <c r="J127" s="36"/>
      <c r="K127" s="36"/>
      <c r="L127" s="36"/>
      <c r="M127" s="36"/>
      <c r="N127" s="40">
        <f t="shared" si="24"/>
        <v>520</v>
      </c>
    </row>
    <row r="128" spans="1:14" s="1" customFormat="1" ht="12.75">
      <c r="A128" s="38" t="s">
        <v>77</v>
      </c>
      <c r="B128" s="34"/>
      <c r="C128" s="37"/>
      <c r="D128" s="36"/>
      <c r="E128" s="36">
        <v>90</v>
      </c>
      <c r="F128" s="36"/>
      <c r="G128" s="36"/>
      <c r="H128" s="36"/>
      <c r="I128" s="36"/>
      <c r="J128" s="36"/>
      <c r="K128" s="36"/>
      <c r="L128" s="36">
        <v>15</v>
      </c>
      <c r="M128" s="36"/>
      <c r="N128" s="40">
        <f t="shared" si="24"/>
        <v>105</v>
      </c>
    </row>
    <row r="129" spans="1:14" s="1" customFormat="1" ht="12.75">
      <c r="A129" s="38" t="s">
        <v>78</v>
      </c>
      <c r="B129" s="34"/>
      <c r="C129" s="37"/>
      <c r="D129" s="36"/>
      <c r="E129" s="36">
        <v>2</v>
      </c>
      <c r="F129" s="36"/>
      <c r="G129" s="36"/>
      <c r="H129" s="36"/>
      <c r="I129" s="36"/>
      <c r="J129" s="36"/>
      <c r="K129" s="36"/>
      <c r="L129" s="36"/>
      <c r="M129" s="36"/>
      <c r="N129" s="40">
        <f t="shared" si="24"/>
        <v>2</v>
      </c>
    </row>
    <row r="130" spans="1:14" s="1" customFormat="1" ht="12.75">
      <c r="A130" s="38" t="s">
        <v>79</v>
      </c>
      <c r="B130" s="34"/>
      <c r="C130" s="37"/>
      <c r="D130" s="36"/>
      <c r="E130" s="36">
        <v>12</v>
      </c>
      <c r="F130" s="36"/>
      <c r="G130" s="36"/>
      <c r="H130" s="36"/>
      <c r="I130" s="36"/>
      <c r="J130" s="36"/>
      <c r="K130" s="36"/>
      <c r="L130" s="36"/>
      <c r="M130" s="36"/>
      <c r="N130" s="40">
        <f t="shared" si="24"/>
        <v>12</v>
      </c>
    </row>
    <row r="131" spans="1:14" s="1" customFormat="1" ht="12.75">
      <c r="A131" s="38" t="s">
        <v>80</v>
      </c>
      <c r="B131" s="34"/>
      <c r="C131" s="37"/>
      <c r="D131" s="36"/>
      <c r="E131" s="36">
        <v>3</v>
      </c>
      <c r="F131" s="36"/>
      <c r="G131" s="36"/>
      <c r="H131" s="36"/>
      <c r="I131" s="36"/>
      <c r="J131" s="36"/>
      <c r="K131" s="36"/>
      <c r="L131" s="36"/>
      <c r="M131" s="36"/>
      <c r="N131" s="40">
        <f t="shared" si="24"/>
        <v>3</v>
      </c>
    </row>
    <row r="132" spans="1:14" s="1" customFormat="1" ht="12.75">
      <c r="A132" s="38" t="s">
        <v>81</v>
      </c>
      <c r="B132" s="34"/>
      <c r="C132" s="37"/>
      <c r="D132" s="36"/>
      <c r="E132" s="36">
        <v>3</v>
      </c>
      <c r="F132" s="36"/>
      <c r="G132" s="36"/>
      <c r="H132" s="36"/>
      <c r="I132" s="36"/>
      <c r="J132" s="36"/>
      <c r="K132" s="36"/>
      <c r="L132" s="36"/>
      <c r="M132" s="36"/>
      <c r="N132" s="40">
        <f t="shared" si="24"/>
        <v>3</v>
      </c>
    </row>
    <row r="133" spans="1:14" s="1" customFormat="1" ht="12.75">
      <c r="A133" s="38" t="s">
        <v>82</v>
      </c>
      <c r="B133" s="34"/>
      <c r="C133" s="37"/>
      <c r="D133" s="36"/>
      <c r="E133" s="36">
        <v>140</v>
      </c>
      <c r="F133" s="36"/>
      <c r="G133" s="36"/>
      <c r="H133" s="36"/>
      <c r="I133" s="36"/>
      <c r="J133" s="36"/>
      <c r="K133" s="36"/>
      <c r="L133" s="36"/>
      <c r="M133" s="36"/>
      <c r="N133" s="40">
        <f t="shared" si="24"/>
        <v>140</v>
      </c>
    </row>
    <row r="134" spans="1:14" s="1" customFormat="1" ht="12.75">
      <c r="A134" s="38" t="s">
        <v>83</v>
      </c>
      <c r="B134" s="34"/>
      <c r="C134" s="37"/>
      <c r="D134" s="36"/>
      <c r="E134" s="36">
        <v>36</v>
      </c>
      <c r="F134" s="36"/>
      <c r="G134" s="36"/>
      <c r="H134" s="36">
        <v>88</v>
      </c>
      <c r="I134" s="36"/>
      <c r="J134" s="36"/>
      <c r="K134" s="36"/>
      <c r="L134" s="36"/>
      <c r="M134" s="36"/>
      <c r="N134" s="40">
        <f aca="true" t="shared" si="25" ref="N134:N141">SUM(B134:M134)</f>
        <v>124</v>
      </c>
    </row>
    <row r="135" spans="1:14" s="1" customFormat="1" ht="12.75">
      <c r="A135" s="38" t="s">
        <v>84</v>
      </c>
      <c r="B135" s="34"/>
      <c r="C135" s="37"/>
      <c r="D135" s="36"/>
      <c r="E135" s="36">
        <v>33</v>
      </c>
      <c r="F135" s="36"/>
      <c r="G135" s="36"/>
      <c r="H135" s="36">
        <v>90</v>
      </c>
      <c r="I135" s="36"/>
      <c r="J135" s="36"/>
      <c r="K135" s="36"/>
      <c r="L135" s="36"/>
      <c r="M135" s="36"/>
      <c r="N135" s="40">
        <f t="shared" si="25"/>
        <v>123</v>
      </c>
    </row>
    <row r="136" spans="1:14" s="1" customFormat="1" ht="12.75">
      <c r="A136" s="38" t="s">
        <v>85</v>
      </c>
      <c r="B136" s="34"/>
      <c r="C136" s="37"/>
      <c r="D136" s="36"/>
      <c r="E136" s="36"/>
      <c r="F136" s="36">
        <v>40</v>
      </c>
      <c r="G136" s="36"/>
      <c r="H136" s="36"/>
      <c r="I136" s="36"/>
      <c r="J136" s="36"/>
      <c r="K136" s="36"/>
      <c r="L136" s="36"/>
      <c r="M136" s="36"/>
      <c r="N136" s="40">
        <f t="shared" si="25"/>
        <v>40</v>
      </c>
    </row>
    <row r="137" spans="1:14" s="1" customFormat="1" ht="12.75">
      <c r="A137" s="38" t="s">
        <v>86</v>
      </c>
      <c r="B137" s="34"/>
      <c r="C137" s="37"/>
      <c r="D137" s="36"/>
      <c r="E137" s="36"/>
      <c r="F137" s="36">
        <v>50</v>
      </c>
      <c r="G137" s="36"/>
      <c r="H137" s="36">
        <v>29</v>
      </c>
      <c r="I137" s="36"/>
      <c r="J137" s="36"/>
      <c r="K137" s="36"/>
      <c r="L137" s="36"/>
      <c r="M137" s="36"/>
      <c r="N137" s="40">
        <f t="shared" si="25"/>
        <v>79</v>
      </c>
    </row>
    <row r="138" spans="1:14" s="1" customFormat="1" ht="12.75">
      <c r="A138" s="38" t="s">
        <v>87</v>
      </c>
      <c r="B138" s="34"/>
      <c r="C138" s="37"/>
      <c r="D138" s="36"/>
      <c r="E138" s="36"/>
      <c r="F138" s="36">
        <v>90</v>
      </c>
      <c r="G138" s="36"/>
      <c r="H138" s="36"/>
      <c r="I138" s="36"/>
      <c r="J138" s="36"/>
      <c r="K138" s="36"/>
      <c r="L138" s="36">
        <v>95</v>
      </c>
      <c r="M138" s="36"/>
      <c r="N138" s="40">
        <f t="shared" si="25"/>
        <v>185</v>
      </c>
    </row>
    <row r="139" spans="1:14" s="1" customFormat="1" ht="12.75">
      <c r="A139" s="38" t="s">
        <v>88</v>
      </c>
      <c r="B139" s="34"/>
      <c r="C139" s="37"/>
      <c r="D139" s="36"/>
      <c r="E139" s="36"/>
      <c r="F139" s="36">
        <v>95</v>
      </c>
      <c r="G139" s="36"/>
      <c r="H139" s="36"/>
      <c r="I139" s="36"/>
      <c r="J139" s="36"/>
      <c r="K139" s="36"/>
      <c r="L139" s="36"/>
      <c r="M139" s="36"/>
      <c r="N139" s="40">
        <f t="shared" si="25"/>
        <v>95</v>
      </c>
    </row>
    <row r="140" spans="1:14" s="1" customFormat="1" ht="12.75">
      <c r="A140" s="38" t="s">
        <v>89</v>
      </c>
      <c r="B140" s="34"/>
      <c r="C140" s="37"/>
      <c r="D140" s="36"/>
      <c r="E140" s="36"/>
      <c r="F140" s="36">
        <v>25</v>
      </c>
      <c r="G140" s="36"/>
      <c r="H140" s="36"/>
      <c r="I140" s="36"/>
      <c r="J140" s="36"/>
      <c r="K140" s="36"/>
      <c r="L140" s="36"/>
      <c r="M140" s="36"/>
      <c r="N140" s="40">
        <f t="shared" si="25"/>
        <v>25</v>
      </c>
    </row>
    <row r="141" spans="1:14" s="1" customFormat="1" ht="12.75">
      <c r="A141" s="38" t="s">
        <v>128</v>
      </c>
      <c r="B141" s="34"/>
      <c r="C141" s="36"/>
      <c r="D141" s="36"/>
      <c r="E141" s="36"/>
      <c r="F141" s="36"/>
      <c r="G141" s="36"/>
      <c r="H141" s="36">
        <v>30</v>
      </c>
      <c r="I141" s="36"/>
      <c r="J141" s="36"/>
      <c r="K141" s="36"/>
      <c r="L141" s="36"/>
      <c r="M141" s="36"/>
      <c r="N141" s="40">
        <f t="shared" si="25"/>
        <v>30</v>
      </c>
    </row>
    <row r="142" spans="1:14" s="1" customFormat="1" ht="12.75">
      <c r="A142" s="38" t="s">
        <v>129</v>
      </c>
      <c r="B142" s="34"/>
      <c r="C142" s="36"/>
      <c r="D142" s="36"/>
      <c r="E142" s="36"/>
      <c r="F142" s="36"/>
      <c r="G142" s="36"/>
      <c r="H142" s="36">
        <v>55</v>
      </c>
      <c r="I142" s="36"/>
      <c r="J142" s="36"/>
      <c r="K142" s="36"/>
      <c r="L142" s="36"/>
      <c r="M142" s="36"/>
      <c r="N142" s="40">
        <f aca="true" t="shared" si="26" ref="N142:N183">SUM(B142:M142)</f>
        <v>55</v>
      </c>
    </row>
    <row r="143" spans="1:14" s="1" customFormat="1" ht="12.75">
      <c r="A143" s="38" t="s">
        <v>130</v>
      </c>
      <c r="B143" s="34"/>
      <c r="C143" s="36"/>
      <c r="D143" s="36"/>
      <c r="E143" s="36"/>
      <c r="F143" s="36"/>
      <c r="G143" s="36"/>
      <c r="H143" s="36">
        <v>100</v>
      </c>
      <c r="I143" s="36"/>
      <c r="J143" s="36"/>
      <c r="K143" s="36"/>
      <c r="L143" s="36"/>
      <c r="M143" s="36"/>
      <c r="N143" s="40">
        <f t="shared" si="26"/>
        <v>100</v>
      </c>
    </row>
    <row r="144" spans="1:14" s="1" customFormat="1" ht="12.75">
      <c r="A144" s="38" t="s">
        <v>131</v>
      </c>
      <c r="B144" s="34"/>
      <c r="C144" s="37"/>
      <c r="D144" s="36"/>
      <c r="E144" s="36"/>
      <c r="F144" s="36"/>
      <c r="G144" s="36"/>
      <c r="H144" s="36">
        <v>200</v>
      </c>
      <c r="I144" s="36"/>
      <c r="J144" s="36"/>
      <c r="K144" s="36"/>
      <c r="L144" s="36"/>
      <c r="M144" s="36"/>
      <c r="N144" s="40">
        <f t="shared" si="26"/>
        <v>200</v>
      </c>
    </row>
    <row r="145" spans="1:14" s="1" customFormat="1" ht="12.75">
      <c r="A145" s="38" t="s">
        <v>132</v>
      </c>
      <c r="B145" s="34"/>
      <c r="C145" s="37"/>
      <c r="D145" s="36"/>
      <c r="E145" s="36"/>
      <c r="F145" s="36"/>
      <c r="G145" s="36"/>
      <c r="H145" s="36">
        <v>145</v>
      </c>
      <c r="I145" s="36"/>
      <c r="J145" s="36"/>
      <c r="K145" s="36"/>
      <c r="L145" s="36"/>
      <c r="M145" s="36"/>
      <c r="N145" s="40">
        <f t="shared" si="26"/>
        <v>145</v>
      </c>
    </row>
    <row r="146" spans="1:14" s="1" customFormat="1" ht="12.75">
      <c r="A146" s="38" t="s">
        <v>133</v>
      </c>
      <c r="B146" s="34"/>
      <c r="C146" s="37"/>
      <c r="D146" s="36"/>
      <c r="E146" s="36"/>
      <c r="F146" s="36"/>
      <c r="G146" s="36"/>
      <c r="H146" s="36">
        <v>60</v>
      </c>
      <c r="I146" s="36"/>
      <c r="J146" s="36"/>
      <c r="K146" s="36"/>
      <c r="L146" s="36"/>
      <c r="M146" s="36"/>
      <c r="N146" s="40">
        <f t="shared" si="26"/>
        <v>60</v>
      </c>
    </row>
    <row r="147" spans="1:14" s="1" customFormat="1" ht="12.75">
      <c r="A147" s="38" t="s">
        <v>134</v>
      </c>
      <c r="B147" s="34"/>
      <c r="C147" s="37"/>
      <c r="D147" s="36"/>
      <c r="E147" s="36"/>
      <c r="F147" s="36"/>
      <c r="G147" s="36"/>
      <c r="H147" s="36">
        <v>35</v>
      </c>
      <c r="I147" s="36"/>
      <c r="J147" s="36"/>
      <c r="K147" s="36"/>
      <c r="L147" s="36">
        <v>38</v>
      </c>
      <c r="M147" s="36"/>
      <c r="N147" s="40">
        <f t="shared" si="26"/>
        <v>73</v>
      </c>
    </row>
    <row r="148" spans="1:14" s="1" customFormat="1" ht="12.75">
      <c r="A148" s="38" t="s">
        <v>135</v>
      </c>
      <c r="B148" s="34"/>
      <c r="C148" s="37"/>
      <c r="D148" s="36"/>
      <c r="E148" s="36"/>
      <c r="F148" s="36"/>
      <c r="G148" s="36"/>
      <c r="H148" s="36">
        <v>15</v>
      </c>
      <c r="I148" s="36"/>
      <c r="J148" s="36"/>
      <c r="K148" s="36"/>
      <c r="L148" s="36"/>
      <c r="M148" s="36"/>
      <c r="N148" s="40">
        <f t="shared" si="26"/>
        <v>15</v>
      </c>
    </row>
    <row r="149" spans="1:14" s="1" customFormat="1" ht="12.75">
      <c r="A149" s="38" t="s">
        <v>136</v>
      </c>
      <c r="B149" s="34"/>
      <c r="C149" s="37"/>
      <c r="D149" s="36"/>
      <c r="E149" s="36"/>
      <c r="F149" s="36"/>
      <c r="G149" s="36"/>
      <c r="H149" s="36">
        <v>22</v>
      </c>
      <c r="I149" s="36"/>
      <c r="J149" s="36"/>
      <c r="K149" s="36"/>
      <c r="L149" s="36"/>
      <c r="M149" s="36"/>
      <c r="N149" s="40">
        <f t="shared" si="26"/>
        <v>22</v>
      </c>
    </row>
    <row r="150" spans="1:14" s="1" customFormat="1" ht="12.75">
      <c r="A150" s="38" t="s">
        <v>136</v>
      </c>
      <c r="B150" s="34"/>
      <c r="C150" s="37"/>
      <c r="D150" s="36"/>
      <c r="E150" s="36"/>
      <c r="F150" s="36"/>
      <c r="G150" s="36"/>
      <c r="H150" s="36">
        <v>18</v>
      </c>
      <c r="I150" s="36"/>
      <c r="J150" s="36"/>
      <c r="K150" s="36"/>
      <c r="L150" s="36"/>
      <c r="M150" s="36"/>
      <c r="N150" s="40">
        <f t="shared" si="26"/>
        <v>18</v>
      </c>
    </row>
    <row r="151" spans="1:14" s="1" customFormat="1" ht="12.75">
      <c r="A151" s="38" t="s">
        <v>137</v>
      </c>
      <c r="B151" s="34"/>
      <c r="C151" s="37"/>
      <c r="D151" s="36"/>
      <c r="E151" s="36"/>
      <c r="F151" s="36"/>
      <c r="G151" s="36"/>
      <c r="H151" s="36">
        <v>138</v>
      </c>
      <c r="I151" s="36"/>
      <c r="J151" s="36"/>
      <c r="K151" s="36"/>
      <c r="L151" s="36"/>
      <c r="M151" s="36"/>
      <c r="N151" s="40">
        <f t="shared" si="26"/>
        <v>138</v>
      </c>
    </row>
    <row r="152" spans="1:14" s="1" customFormat="1" ht="12.75">
      <c r="A152" s="38" t="s">
        <v>137</v>
      </c>
      <c r="B152" s="34"/>
      <c r="C152" s="37"/>
      <c r="D152" s="36"/>
      <c r="E152" s="36"/>
      <c r="F152" s="36"/>
      <c r="G152" s="36"/>
      <c r="H152" s="36">
        <v>127</v>
      </c>
      <c r="I152" s="36"/>
      <c r="J152" s="36"/>
      <c r="K152" s="36"/>
      <c r="L152" s="36"/>
      <c r="M152" s="36"/>
      <c r="N152" s="40">
        <f t="shared" si="26"/>
        <v>127</v>
      </c>
    </row>
    <row r="153" spans="1:14" s="1" customFormat="1" ht="12.75">
      <c r="A153" s="38" t="s">
        <v>138</v>
      </c>
      <c r="B153" s="34"/>
      <c r="C153" s="37"/>
      <c r="D153" s="36"/>
      <c r="E153" s="36"/>
      <c r="F153" s="36"/>
      <c r="G153" s="36"/>
      <c r="H153" s="36">
        <v>149</v>
      </c>
      <c r="I153" s="36"/>
      <c r="J153" s="36"/>
      <c r="K153" s="36"/>
      <c r="L153" s="36"/>
      <c r="M153" s="36"/>
      <c r="N153" s="40">
        <f t="shared" si="26"/>
        <v>149</v>
      </c>
    </row>
    <row r="154" spans="1:14" s="1" customFormat="1" ht="12.75">
      <c r="A154" s="38" t="s">
        <v>139</v>
      </c>
      <c r="B154" s="34"/>
      <c r="C154" s="37"/>
      <c r="D154" s="36"/>
      <c r="E154" s="36"/>
      <c r="F154" s="36"/>
      <c r="G154" s="36"/>
      <c r="H154" s="36">
        <v>32</v>
      </c>
      <c r="I154" s="36"/>
      <c r="J154" s="36"/>
      <c r="K154" s="36"/>
      <c r="L154" s="36"/>
      <c r="M154" s="36"/>
      <c r="N154" s="40">
        <f t="shared" si="26"/>
        <v>32</v>
      </c>
    </row>
    <row r="155" spans="1:14" s="1" customFormat="1" ht="12.75">
      <c r="A155" s="38" t="s">
        <v>140</v>
      </c>
      <c r="B155" s="34"/>
      <c r="C155" s="37"/>
      <c r="D155" s="36"/>
      <c r="E155" s="36"/>
      <c r="F155" s="36"/>
      <c r="G155" s="36"/>
      <c r="H155" s="36">
        <v>16</v>
      </c>
      <c r="I155" s="36"/>
      <c r="J155" s="36"/>
      <c r="K155" s="36"/>
      <c r="L155" s="36"/>
      <c r="M155" s="36"/>
      <c r="N155" s="40">
        <f t="shared" si="26"/>
        <v>16</v>
      </c>
    </row>
    <row r="156" spans="1:14" s="1" customFormat="1" ht="12.75">
      <c r="A156" s="38" t="s">
        <v>141</v>
      </c>
      <c r="B156" s="34"/>
      <c r="C156" s="37"/>
      <c r="D156" s="36"/>
      <c r="E156" s="36"/>
      <c r="F156" s="36"/>
      <c r="G156" s="36"/>
      <c r="H156" s="36">
        <v>39</v>
      </c>
      <c r="I156" s="36"/>
      <c r="J156" s="36"/>
      <c r="K156" s="36"/>
      <c r="L156" s="36"/>
      <c r="M156" s="36"/>
      <c r="N156" s="40">
        <f t="shared" si="26"/>
        <v>39</v>
      </c>
    </row>
    <row r="157" spans="1:14" s="1" customFormat="1" ht="12.75">
      <c r="A157" s="38" t="s">
        <v>142</v>
      </c>
      <c r="B157" s="34"/>
      <c r="C157" s="37"/>
      <c r="D157" s="36"/>
      <c r="E157" s="36"/>
      <c r="F157" s="36"/>
      <c r="G157" s="36"/>
      <c r="H157" s="36">
        <v>38</v>
      </c>
      <c r="I157" s="36"/>
      <c r="J157" s="36"/>
      <c r="K157" s="36"/>
      <c r="L157" s="36"/>
      <c r="M157" s="36"/>
      <c r="N157" s="40">
        <f t="shared" si="26"/>
        <v>38</v>
      </c>
    </row>
    <row r="158" spans="1:14" s="1" customFormat="1" ht="12.75">
      <c r="A158" s="38" t="s">
        <v>143</v>
      </c>
      <c r="B158" s="34"/>
      <c r="C158" s="37"/>
      <c r="D158" s="36"/>
      <c r="E158" s="36"/>
      <c r="F158" s="36"/>
      <c r="G158" s="36"/>
      <c r="H158" s="36">
        <v>435</v>
      </c>
      <c r="I158" s="36"/>
      <c r="J158" s="36"/>
      <c r="K158" s="36"/>
      <c r="L158" s="36"/>
      <c r="M158" s="36"/>
      <c r="N158" s="40">
        <f t="shared" si="26"/>
        <v>435</v>
      </c>
    </row>
    <row r="159" spans="1:14" s="1" customFormat="1" ht="12.75">
      <c r="A159" s="38" t="s">
        <v>144</v>
      </c>
      <c r="B159" s="34"/>
      <c r="C159" s="37"/>
      <c r="D159" s="36"/>
      <c r="E159" s="36"/>
      <c r="F159" s="36"/>
      <c r="G159" s="36"/>
      <c r="H159" s="36">
        <v>168</v>
      </c>
      <c r="I159" s="36"/>
      <c r="J159" s="36"/>
      <c r="K159" s="36"/>
      <c r="L159" s="36"/>
      <c r="M159" s="36"/>
      <c r="N159" s="40">
        <f t="shared" si="26"/>
        <v>168</v>
      </c>
    </row>
    <row r="160" spans="1:14" s="1" customFormat="1" ht="12.75">
      <c r="A160" s="38" t="s">
        <v>140</v>
      </c>
      <c r="B160" s="34"/>
      <c r="C160" s="37"/>
      <c r="D160" s="36"/>
      <c r="E160" s="36"/>
      <c r="F160" s="36"/>
      <c r="G160" s="36"/>
      <c r="H160" s="36">
        <v>16</v>
      </c>
      <c r="I160" s="36"/>
      <c r="J160" s="36"/>
      <c r="K160" s="36"/>
      <c r="L160" s="36"/>
      <c r="M160" s="36"/>
      <c r="N160" s="40">
        <f t="shared" si="26"/>
        <v>16</v>
      </c>
    </row>
    <row r="161" spans="1:14" s="1" customFormat="1" ht="12.75">
      <c r="A161" s="38" t="s">
        <v>143</v>
      </c>
      <c r="B161" s="34"/>
      <c r="C161" s="37"/>
      <c r="D161" s="36"/>
      <c r="E161" s="36"/>
      <c r="F161" s="36"/>
      <c r="G161" s="36"/>
      <c r="H161" s="36">
        <v>435</v>
      </c>
      <c r="I161" s="36"/>
      <c r="J161" s="36"/>
      <c r="K161" s="36"/>
      <c r="L161" s="36"/>
      <c r="M161" s="36"/>
      <c r="N161" s="40">
        <f t="shared" si="26"/>
        <v>435</v>
      </c>
    </row>
    <row r="162" spans="1:14" s="1" customFormat="1" ht="12.75">
      <c r="A162" s="38" t="s">
        <v>145</v>
      </c>
      <c r="B162" s="34"/>
      <c r="C162" s="37"/>
      <c r="D162" s="36"/>
      <c r="E162" s="36"/>
      <c r="F162" s="36"/>
      <c r="G162" s="36"/>
      <c r="H162" s="36">
        <v>165</v>
      </c>
      <c r="I162" s="36"/>
      <c r="J162" s="36"/>
      <c r="K162" s="36"/>
      <c r="L162" s="36"/>
      <c r="M162" s="36"/>
      <c r="N162" s="40">
        <f t="shared" si="26"/>
        <v>165</v>
      </c>
    </row>
    <row r="163" spans="1:14" s="1" customFormat="1" ht="12.75">
      <c r="A163" s="38" t="s">
        <v>146</v>
      </c>
      <c r="B163" s="38"/>
      <c r="C163" s="38"/>
      <c r="D163" s="38"/>
      <c r="E163" s="38"/>
      <c r="F163" s="38"/>
      <c r="G163" s="38"/>
      <c r="H163" s="36">
        <v>60</v>
      </c>
      <c r="I163" s="36"/>
      <c r="J163" s="36"/>
      <c r="K163" s="36"/>
      <c r="L163" s="36"/>
      <c r="M163" s="36"/>
      <c r="N163" s="40">
        <f t="shared" si="26"/>
        <v>60</v>
      </c>
    </row>
    <row r="164" spans="1:14" s="1" customFormat="1" ht="12.75">
      <c r="A164" s="38" t="s">
        <v>147</v>
      </c>
      <c r="B164" s="38"/>
      <c r="C164" s="38"/>
      <c r="D164" s="38"/>
      <c r="E164" s="38"/>
      <c r="F164" s="38"/>
      <c r="G164" s="38"/>
      <c r="H164" s="36">
        <v>40</v>
      </c>
      <c r="I164" s="36"/>
      <c r="J164" s="36"/>
      <c r="K164" s="36"/>
      <c r="L164" s="36"/>
      <c r="M164" s="36"/>
      <c r="N164" s="40">
        <f t="shared" si="26"/>
        <v>40</v>
      </c>
    </row>
    <row r="165" spans="1:14" s="1" customFormat="1" ht="12.75">
      <c r="A165" s="38" t="s">
        <v>148</v>
      </c>
      <c r="B165" s="38"/>
      <c r="C165" s="38"/>
      <c r="D165" s="38"/>
      <c r="E165" s="38"/>
      <c r="F165" s="38"/>
      <c r="G165" s="38"/>
      <c r="H165" s="36">
        <v>39</v>
      </c>
      <c r="I165" s="36"/>
      <c r="J165" s="36"/>
      <c r="K165" s="36"/>
      <c r="L165" s="36"/>
      <c r="M165" s="36"/>
      <c r="N165" s="40">
        <f t="shared" si="26"/>
        <v>39</v>
      </c>
    </row>
    <row r="166" spans="1:14" s="1" customFormat="1" ht="12.75">
      <c r="A166" s="38" t="s">
        <v>147</v>
      </c>
      <c r="B166" s="38"/>
      <c r="C166" s="38"/>
      <c r="D166" s="38"/>
      <c r="E166" s="38"/>
      <c r="F166" s="38"/>
      <c r="G166" s="38"/>
      <c r="H166" s="36">
        <v>56</v>
      </c>
      <c r="I166" s="36"/>
      <c r="J166" s="36"/>
      <c r="K166" s="36"/>
      <c r="L166" s="36"/>
      <c r="M166" s="36"/>
      <c r="N166" s="40">
        <f t="shared" si="26"/>
        <v>56</v>
      </c>
    </row>
    <row r="167" spans="1:14" s="1" customFormat="1" ht="12.75">
      <c r="A167" s="38" t="s">
        <v>149</v>
      </c>
      <c r="B167" s="38"/>
      <c r="C167" s="38"/>
      <c r="D167" s="38"/>
      <c r="E167" s="38"/>
      <c r="F167" s="38"/>
      <c r="G167" s="38"/>
      <c r="H167" s="36">
        <v>18</v>
      </c>
      <c r="I167" s="36"/>
      <c r="J167" s="36"/>
      <c r="K167" s="36"/>
      <c r="L167" s="36"/>
      <c r="M167" s="36"/>
      <c r="N167" s="40">
        <f t="shared" si="26"/>
        <v>18</v>
      </c>
    </row>
    <row r="168" spans="1:14" s="1" customFormat="1" ht="12.75">
      <c r="A168" s="38" t="s">
        <v>152</v>
      </c>
      <c r="B168" s="34"/>
      <c r="C168" s="37"/>
      <c r="D168" s="36"/>
      <c r="E168" s="36"/>
      <c r="F168" s="36"/>
      <c r="G168" s="36"/>
      <c r="H168" s="36"/>
      <c r="I168" s="36"/>
      <c r="J168" s="36"/>
      <c r="K168" s="36"/>
      <c r="L168" s="36">
        <v>130</v>
      </c>
      <c r="M168" s="36"/>
      <c r="N168" s="40">
        <f t="shared" si="26"/>
        <v>130</v>
      </c>
    </row>
    <row r="169" spans="1:14" s="1" customFormat="1" ht="12.75">
      <c r="A169" s="38" t="s">
        <v>153</v>
      </c>
      <c r="B169" s="34"/>
      <c r="C169" s="37"/>
      <c r="D169" s="36"/>
      <c r="E169" s="36"/>
      <c r="F169" s="36"/>
      <c r="G169" s="36"/>
      <c r="H169" s="36"/>
      <c r="I169" s="36"/>
      <c r="J169" s="36"/>
      <c r="K169" s="36"/>
      <c r="L169" s="36">
        <v>65</v>
      </c>
      <c r="M169" s="36"/>
      <c r="N169" s="40">
        <f t="shared" si="26"/>
        <v>65</v>
      </c>
    </row>
    <row r="170" spans="1:14" s="1" customFormat="1" ht="12.75">
      <c r="A170" s="38" t="s">
        <v>154</v>
      </c>
      <c r="B170" s="34"/>
      <c r="C170" s="37"/>
      <c r="D170" s="36"/>
      <c r="E170" s="36"/>
      <c r="F170" s="36"/>
      <c r="G170" s="36"/>
      <c r="H170" s="36"/>
      <c r="I170" s="36"/>
      <c r="J170" s="36"/>
      <c r="K170" s="36"/>
      <c r="L170" s="36">
        <v>45</v>
      </c>
      <c r="M170" s="36"/>
      <c r="N170" s="40">
        <f t="shared" si="26"/>
        <v>45</v>
      </c>
    </row>
    <row r="171" spans="1:14" s="1" customFormat="1" ht="12.75">
      <c r="A171" s="38" t="s">
        <v>155</v>
      </c>
      <c r="B171" s="34"/>
      <c r="C171" s="37"/>
      <c r="D171" s="36"/>
      <c r="E171" s="36"/>
      <c r="F171" s="36"/>
      <c r="G171" s="36"/>
      <c r="H171" s="36"/>
      <c r="I171" s="36"/>
      <c r="J171" s="36"/>
      <c r="K171" s="36"/>
      <c r="L171" s="36">
        <v>49</v>
      </c>
      <c r="M171" s="36"/>
      <c r="N171" s="40">
        <f t="shared" si="26"/>
        <v>49</v>
      </c>
    </row>
    <row r="172" spans="1:14" s="1" customFormat="1" ht="12.75">
      <c r="A172" s="38" t="s">
        <v>156</v>
      </c>
      <c r="B172" s="34"/>
      <c r="C172" s="37"/>
      <c r="D172" s="36"/>
      <c r="E172" s="36"/>
      <c r="F172" s="36"/>
      <c r="G172" s="36"/>
      <c r="H172" s="36"/>
      <c r="I172" s="36"/>
      <c r="J172" s="36"/>
      <c r="K172" s="36"/>
      <c r="L172" s="36">
        <v>650</v>
      </c>
      <c r="M172" s="36"/>
      <c r="N172" s="40">
        <f t="shared" si="26"/>
        <v>650</v>
      </c>
    </row>
    <row r="173" spans="1:14" s="1" customFormat="1" ht="12.75">
      <c r="A173" s="38" t="s">
        <v>157</v>
      </c>
      <c r="B173" s="34"/>
      <c r="C173" s="37"/>
      <c r="D173" s="36"/>
      <c r="E173" s="36"/>
      <c r="F173" s="36"/>
      <c r="G173" s="36"/>
      <c r="H173" s="36"/>
      <c r="I173" s="36"/>
      <c r="J173" s="36"/>
      <c r="K173" s="36"/>
      <c r="L173" s="36">
        <v>210</v>
      </c>
      <c r="M173" s="36"/>
      <c r="N173" s="40">
        <f t="shared" si="26"/>
        <v>210</v>
      </c>
    </row>
    <row r="174" spans="1:14" s="1" customFormat="1" ht="12.75">
      <c r="A174" s="38" t="s">
        <v>158</v>
      </c>
      <c r="B174" s="34"/>
      <c r="C174" s="37"/>
      <c r="D174" s="36"/>
      <c r="E174" s="36"/>
      <c r="F174" s="36"/>
      <c r="G174" s="36"/>
      <c r="H174" s="36"/>
      <c r="I174" s="36"/>
      <c r="J174" s="36"/>
      <c r="K174" s="36"/>
      <c r="L174" s="36">
        <v>30</v>
      </c>
      <c r="M174" s="36"/>
      <c r="N174" s="40">
        <f t="shared" si="26"/>
        <v>30</v>
      </c>
    </row>
    <row r="175" spans="1:14" s="1" customFormat="1" ht="12.75">
      <c r="A175" s="38" t="s">
        <v>159</v>
      </c>
      <c r="B175" s="34"/>
      <c r="C175" s="37"/>
      <c r="D175" s="36"/>
      <c r="E175" s="36"/>
      <c r="F175" s="36"/>
      <c r="G175" s="36"/>
      <c r="H175" s="36"/>
      <c r="I175" s="36"/>
      <c r="J175" s="36"/>
      <c r="K175" s="36"/>
      <c r="L175" s="36">
        <v>27</v>
      </c>
      <c r="M175" s="36"/>
      <c r="N175" s="40">
        <f t="shared" si="26"/>
        <v>27</v>
      </c>
    </row>
    <row r="176" spans="1:14" s="1" customFormat="1" ht="12.75">
      <c r="A176" s="38" t="s">
        <v>160</v>
      </c>
      <c r="B176" s="34"/>
      <c r="C176" s="37"/>
      <c r="D176" s="36"/>
      <c r="E176" s="36"/>
      <c r="F176" s="36"/>
      <c r="G176" s="36"/>
      <c r="H176" s="36"/>
      <c r="I176" s="36"/>
      <c r="J176" s="36"/>
      <c r="K176" s="36"/>
      <c r="L176" s="36">
        <v>29</v>
      </c>
      <c r="M176" s="36"/>
      <c r="N176" s="40">
        <f t="shared" si="26"/>
        <v>29</v>
      </c>
    </row>
    <row r="177" spans="1:14" s="1" customFormat="1" ht="12.75">
      <c r="A177" s="38" t="s">
        <v>161</v>
      </c>
      <c r="B177" s="34"/>
      <c r="C177" s="37"/>
      <c r="D177" s="36"/>
      <c r="E177" s="36"/>
      <c r="F177" s="36"/>
      <c r="G177" s="36"/>
      <c r="H177" s="36"/>
      <c r="I177" s="36"/>
      <c r="J177" s="36"/>
      <c r="K177" s="36"/>
      <c r="L177" s="36">
        <v>12</v>
      </c>
      <c r="M177" s="36"/>
      <c r="N177" s="40">
        <f t="shared" si="26"/>
        <v>12</v>
      </c>
    </row>
    <row r="178" spans="1:14" s="1" customFormat="1" ht="12.75">
      <c r="A178" s="38" t="s">
        <v>161</v>
      </c>
      <c r="B178" s="34"/>
      <c r="C178" s="37"/>
      <c r="D178" s="36"/>
      <c r="E178" s="36"/>
      <c r="F178" s="36"/>
      <c r="G178" s="36"/>
      <c r="H178" s="36"/>
      <c r="I178" s="36"/>
      <c r="J178" s="36"/>
      <c r="K178" s="36"/>
      <c r="L178" s="36">
        <v>10</v>
      </c>
      <c r="M178" s="36"/>
      <c r="N178" s="40">
        <f t="shared" si="26"/>
        <v>10</v>
      </c>
    </row>
    <row r="179" spans="1:14" s="1" customFormat="1" ht="12.75">
      <c r="A179" s="38" t="s">
        <v>162</v>
      </c>
      <c r="B179" s="38"/>
      <c r="C179" s="38"/>
      <c r="D179" s="38"/>
      <c r="E179" s="38"/>
      <c r="F179" s="38"/>
      <c r="G179" s="38"/>
      <c r="H179" s="36"/>
      <c r="I179" s="36"/>
      <c r="J179" s="36"/>
      <c r="K179" s="36"/>
      <c r="L179" s="36">
        <v>8</v>
      </c>
      <c r="M179" s="36"/>
      <c r="N179" s="40">
        <f t="shared" si="26"/>
        <v>8</v>
      </c>
    </row>
    <row r="180" spans="1:14" s="1" customFormat="1" ht="12.75">
      <c r="A180" s="38" t="s">
        <v>155</v>
      </c>
      <c r="B180" s="38"/>
      <c r="C180" s="38"/>
      <c r="D180" s="38"/>
      <c r="E180" s="38"/>
      <c r="F180" s="38"/>
      <c r="G180" s="38"/>
      <c r="H180" s="36"/>
      <c r="I180" s="36"/>
      <c r="J180" s="36"/>
      <c r="K180" s="36"/>
      <c r="L180" s="36">
        <v>128</v>
      </c>
      <c r="M180" s="36"/>
      <c r="N180" s="40">
        <f t="shared" si="26"/>
        <v>128</v>
      </c>
    </row>
    <row r="181" spans="1:14" s="1" customFormat="1" ht="12.75">
      <c r="A181" s="38" t="s">
        <v>163</v>
      </c>
      <c r="B181" s="38"/>
      <c r="C181" s="38"/>
      <c r="D181" s="38"/>
      <c r="E181" s="38"/>
      <c r="F181" s="38"/>
      <c r="G181" s="38"/>
      <c r="H181" s="36"/>
      <c r="I181" s="36"/>
      <c r="J181" s="36"/>
      <c r="K181" s="36"/>
      <c r="L181" s="36">
        <v>119</v>
      </c>
      <c r="M181" s="36"/>
      <c r="N181" s="40">
        <f t="shared" si="26"/>
        <v>119</v>
      </c>
    </row>
    <row r="182" spans="1:14" s="1" customFormat="1" ht="12.75">
      <c r="A182" s="38" t="s">
        <v>164</v>
      </c>
      <c r="B182" s="34"/>
      <c r="C182" s="37"/>
      <c r="D182" s="36"/>
      <c r="E182" s="36"/>
      <c r="F182" s="36"/>
      <c r="G182" s="36"/>
      <c r="H182" s="36"/>
      <c r="I182" s="36"/>
      <c r="J182" s="36"/>
      <c r="K182" s="36"/>
      <c r="L182" s="36">
        <v>60</v>
      </c>
      <c r="M182" s="36"/>
      <c r="N182" s="40">
        <f t="shared" si="26"/>
        <v>60</v>
      </c>
    </row>
    <row r="183" spans="1:14" s="1" customFormat="1" ht="12.75">
      <c r="A183" s="38" t="s">
        <v>165</v>
      </c>
      <c r="B183" s="34"/>
      <c r="C183" s="36"/>
      <c r="D183" s="36"/>
      <c r="E183" s="36"/>
      <c r="F183" s="36"/>
      <c r="G183" s="36"/>
      <c r="H183" s="36"/>
      <c r="I183" s="36"/>
      <c r="J183" s="36"/>
      <c r="K183" s="36"/>
      <c r="L183" s="36">
        <v>6</v>
      </c>
      <c r="M183" s="36"/>
      <c r="N183" s="40">
        <f t="shared" si="26"/>
        <v>6</v>
      </c>
    </row>
    <row r="184" spans="1:14" s="1" customFormat="1" ht="12.75">
      <c r="A184" s="38" t="s">
        <v>166</v>
      </c>
      <c r="B184" s="34"/>
      <c r="C184" s="37"/>
      <c r="D184" s="36"/>
      <c r="E184" s="36"/>
      <c r="F184" s="36"/>
      <c r="G184" s="36"/>
      <c r="H184" s="36"/>
      <c r="I184" s="36"/>
      <c r="J184" s="36"/>
      <c r="K184" s="36"/>
      <c r="L184" s="36">
        <v>70</v>
      </c>
      <c r="M184" s="36"/>
      <c r="N184" s="40">
        <f aca="true" t="shared" si="27" ref="N184:N196">SUM(B184:M184)</f>
        <v>70</v>
      </c>
    </row>
    <row r="185" spans="1:14" s="1" customFormat="1" ht="12.75">
      <c r="A185" s="38" t="s">
        <v>167</v>
      </c>
      <c r="B185" s="34"/>
      <c r="C185" s="37"/>
      <c r="D185" s="36"/>
      <c r="E185" s="36"/>
      <c r="F185" s="36"/>
      <c r="G185" s="36"/>
      <c r="H185" s="36"/>
      <c r="I185" s="36"/>
      <c r="J185" s="36"/>
      <c r="K185" s="36"/>
      <c r="L185" s="36">
        <v>13</v>
      </c>
      <c r="M185" s="36"/>
      <c r="N185" s="40">
        <f>SUM(B185:M185)</f>
        <v>13</v>
      </c>
    </row>
    <row r="186" spans="1:14" s="1" customFormat="1" ht="12.75">
      <c r="A186" s="38" t="s">
        <v>168</v>
      </c>
      <c r="B186" s="34"/>
      <c r="C186" s="37"/>
      <c r="D186" s="36"/>
      <c r="E186" s="36"/>
      <c r="F186" s="36"/>
      <c r="G186" s="36"/>
      <c r="H186" s="36"/>
      <c r="I186" s="36"/>
      <c r="J186" s="36"/>
      <c r="K186" s="36"/>
      <c r="L186" s="36">
        <v>120</v>
      </c>
      <c r="M186" s="36"/>
      <c r="N186" s="40">
        <f t="shared" si="27"/>
        <v>120</v>
      </c>
    </row>
    <row r="187" spans="1:14" s="1" customFormat="1" ht="12.75">
      <c r="A187" s="38" t="s">
        <v>169</v>
      </c>
      <c r="B187" s="34"/>
      <c r="C187" s="37"/>
      <c r="D187" s="36"/>
      <c r="E187" s="36"/>
      <c r="F187" s="36"/>
      <c r="G187" s="36"/>
      <c r="H187" s="36"/>
      <c r="I187" s="36"/>
      <c r="J187" s="36"/>
      <c r="K187" s="36"/>
      <c r="L187" s="36">
        <v>112</v>
      </c>
      <c r="M187" s="36"/>
      <c r="N187" s="40">
        <f t="shared" si="27"/>
        <v>112</v>
      </c>
    </row>
    <row r="188" spans="1:14" s="1" customFormat="1" ht="12.75">
      <c r="A188" s="38" t="s">
        <v>169</v>
      </c>
      <c r="B188" s="34"/>
      <c r="C188" s="37"/>
      <c r="D188" s="36"/>
      <c r="E188" s="36"/>
      <c r="F188" s="36"/>
      <c r="G188" s="36"/>
      <c r="H188" s="36"/>
      <c r="I188" s="36"/>
      <c r="J188" s="36"/>
      <c r="K188" s="36"/>
      <c r="L188" s="36">
        <v>230</v>
      </c>
      <c r="M188" s="36"/>
      <c r="N188" s="40">
        <f t="shared" si="27"/>
        <v>230</v>
      </c>
    </row>
    <row r="189" spans="1:14" s="1" customFormat="1" ht="12.75">
      <c r="A189" s="38" t="s">
        <v>170</v>
      </c>
      <c r="B189" s="34"/>
      <c r="C189" s="37"/>
      <c r="D189" s="36"/>
      <c r="E189" s="36"/>
      <c r="F189" s="36"/>
      <c r="G189" s="36"/>
      <c r="H189" s="36"/>
      <c r="I189" s="36"/>
      <c r="J189" s="36"/>
      <c r="K189" s="36"/>
      <c r="L189" s="36">
        <v>47</v>
      </c>
      <c r="M189" s="36"/>
      <c r="N189" s="40">
        <f t="shared" si="27"/>
        <v>47</v>
      </c>
    </row>
    <row r="190" spans="1:14" s="1" customFormat="1" ht="12.75">
      <c r="A190" s="38" t="s">
        <v>171</v>
      </c>
      <c r="B190" s="34"/>
      <c r="C190" s="37"/>
      <c r="D190" s="36"/>
      <c r="E190" s="36"/>
      <c r="F190" s="36"/>
      <c r="G190" s="36"/>
      <c r="H190" s="36"/>
      <c r="I190" s="36"/>
      <c r="J190" s="36"/>
      <c r="K190" s="36"/>
      <c r="L190" s="36">
        <v>24</v>
      </c>
      <c r="M190" s="36"/>
      <c r="N190" s="40">
        <f t="shared" si="27"/>
        <v>24</v>
      </c>
    </row>
    <row r="191" spans="1:14" s="1" customFormat="1" ht="12.75">
      <c r="A191" s="38" t="s">
        <v>172</v>
      </c>
      <c r="B191" s="34"/>
      <c r="C191" s="37"/>
      <c r="D191" s="36"/>
      <c r="E191" s="36"/>
      <c r="F191" s="36"/>
      <c r="G191" s="36"/>
      <c r="H191" s="36"/>
      <c r="I191" s="36"/>
      <c r="J191" s="36"/>
      <c r="K191" s="36"/>
      <c r="L191" s="36">
        <v>10</v>
      </c>
      <c r="M191" s="36"/>
      <c r="N191" s="40">
        <f t="shared" si="27"/>
        <v>10</v>
      </c>
    </row>
    <row r="192" spans="1:14" s="1" customFormat="1" ht="12.75">
      <c r="A192" s="38" t="s">
        <v>173</v>
      </c>
      <c r="B192" s="34"/>
      <c r="C192" s="37"/>
      <c r="D192" s="36"/>
      <c r="E192" s="36"/>
      <c r="F192" s="36"/>
      <c r="G192" s="36"/>
      <c r="H192" s="36"/>
      <c r="I192" s="36"/>
      <c r="J192" s="36"/>
      <c r="K192" s="36"/>
      <c r="L192" s="36">
        <v>44</v>
      </c>
      <c r="M192" s="36"/>
      <c r="N192" s="40">
        <f t="shared" si="27"/>
        <v>44</v>
      </c>
    </row>
    <row r="193" spans="1:14" s="1" customFormat="1" ht="12.75">
      <c r="A193" s="38" t="s">
        <v>174</v>
      </c>
      <c r="B193" s="34"/>
      <c r="C193" s="37"/>
      <c r="D193" s="36"/>
      <c r="E193" s="36"/>
      <c r="F193" s="36"/>
      <c r="G193" s="36"/>
      <c r="H193" s="36"/>
      <c r="I193" s="36"/>
      <c r="J193" s="36"/>
      <c r="K193" s="36"/>
      <c r="L193" s="36">
        <v>12</v>
      </c>
      <c r="M193" s="36"/>
      <c r="N193" s="40">
        <f>SUM(B193:M193)</f>
        <v>12</v>
      </c>
    </row>
    <row r="194" spans="1:14" s="1" customFormat="1" ht="12.75">
      <c r="A194" s="38" t="s">
        <v>175</v>
      </c>
      <c r="B194" s="34"/>
      <c r="C194" s="37"/>
      <c r="D194" s="36"/>
      <c r="E194" s="36"/>
      <c r="F194" s="36"/>
      <c r="G194" s="36"/>
      <c r="H194" s="36"/>
      <c r="I194" s="36"/>
      <c r="J194" s="36"/>
      <c r="K194" s="36"/>
      <c r="L194" s="36">
        <v>42</v>
      </c>
      <c r="M194" s="36"/>
      <c r="N194" s="40">
        <f>SUM(B194:M194)</f>
        <v>42</v>
      </c>
    </row>
    <row r="195" spans="1:14" s="1" customFormat="1" ht="12.75">
      <c r="A195" s="38" t="s">
        <v>176</v>
      </c>
      <c r="B195" s="34"/>
      <c r="C195" s="37"/>
      <c r="D195" s="36"/>
      <c r="E195" s="36"/>
      <c r="F195" s="36"/>
      <c r="G195" s="36"/>
      <c r="H195" s="36"/>
      <c r="I195" s="36"/>
      <c r="J195" s="36"/>
      <c r="K195" s="36"/>
      <c r="L195" s="36">
        <v>42</v>
      </c>
      <c r="M195" s="36"/>
      <c r="N195" s="40">
        <f t="shared" si="27"/>
        <v>42</v>
      </c>
    </row>
    <row r="196" spans="1:14" s="1" customFormat="1" ht="12.75">
      <c r="A196" s="38" t="s">
        <v>177</v>
      </c>
      <c r="B196" s="34"/>
      <c r="C196" s="37"/>
      <c r="D196" s="36"/>
      <c r="E196" s="36"/>
      <c r="F196" s="36"/>
      <c r="G196" s="36"/>
      <c r="H196" s="36"/>
      <c r="I196" s="36"/>
      <c r="J196" s="36"/>
      <c r="K196" s="36"/>
      <c r="L196" s="36">
        <v>26</v>
      </c>
      <c r="M196" s="36"/>
      <c r="N196" s="40">
        <f t="shared" si="27"/>
        <v>26</v>
      </c>
    </row>
    <row r="197" spans="1:14" s="1" customFormat="1" ht="15" customHeight="1">
      <c r="A197" s="3" t="s">
        <v>16</v>
      </c>
      <c r="B197" s="21"/>
      <c r="C197" s="21">
        <f>20000+40000</f>
        <v>60000</v>
      </c>
      <c r="D197" s="27">
        <v>20000</v>
      </c>
      <c r="E197" s="27">
        <v>30000</v>
      </c>
      <c r="F197" s="27">
        <v>20000</v>
      </c>
      <c r="G197" s="27">
        <f>7000+15000</f>
        <v>22000</v>
      </c>
      <c r="H197" s="19"/>
      <c r="I197" s="19"/>
      <c r="J197" s="27">
        <v>35000</v>
      </c>
      <c r="K197" s="27">
        <f>35000+40000</f>
        <v>75000</v>
      </c>
      <c r="L197" s="27"/>
      <c r="M197" s="29">
        <v>30000</v>
      </c>
      <c r="N197" s="19">
        <f>SUM(B197:M197)</f>
        <v>292000</v>
      </c>
    </row>
    <row r="198" spans="1:14" s="1" customFormat="1" ht="27.75" customHeight="1">
      <c r="A198" s="35" t="s">
        <v>150</v>
      </c>
      <c r="B198" s="33">
        <f aca="true" t="shared" si="28" ref="B198:N198">SUM(B199:B199)</f>
        <v>0</v>
      </c>
      <c r="C198" s="33">
        <f t="shared" si="28"/>
        <v>0</v>
      </c>
      <c r="D198" s="33">
        <f t="shared" si="28"/>
        <v>0</v>
      </c>
      <c r="E198" s="33">
        <f t="shared" si="28"/>
        <v>0</v>
      </c>
      <c r="F198" s="33">
        <f t="shared" si="28"/>
        <v>0</v>
      </c>
      <c r="G198" s="33">
        <f t="shared" si="28"/>
        <v>0</v>
      </c>
      <c r="H198" s="33">
        <f t="shared" si="28"/>
        <v>0</v>
      </c>
      <c r="I198" s="33">
        <f t="shared" si="28"/>
        <v>0</v>
      </c>
      <c r="J198" s="33">
        <f t="shared" si="28"/>
        <v>2500</v>
      </c>
      <c r="K198" s="33">
        <f t="shared" si="28"/>
        <v>0</v>
      </c>
      <c r="L198" s="33">
        <f t="shared" si="28"/>
        <v>0</v>
      </c>
      <c r="M198" s="33">
        <f t="shared" si="28"/>
        <v>0</v>
      </c>
      <c r="N198" s="33">
        <f t="shared" si="28"/>
        <v>2500</v>
      </c>
    </row>
    <row r="199" spans="1:14" s="1" customFormat="1" ht="12.75">
      <c r="A199" s="38" t="s">
        <v>151</v>
      </c>
      <c r="B199" s="34"/>
      <c r="C199" s="36"/>
      <c r="D199" s="36"/>
      <c r="E199" s="36"/>
      <c r="F199" s="36"/>
      <c r="G199" s="36"/>
      <c r="H199" s="36"/>
      <c r="I199" s="36"/>
      <c r="J199" s="36">
        <v>2500</v>
      </c>
      <c r="K199" s="36"/>
      <c r="L199" s="36"/>
      <c r="M199" s="36"/>
      <c r="N199" s="40">
        <f>SUM(B199:M199)</f>
        <v>2500</v>
      </c>
    </row>
    <row r="200" spans="1:14" s="1" customFormat="1" ht="36.75" customHeight="1">
      <c r="A200" s="35" t="s">
        <v>178</v>
      </c>
      <c r="B200" s="33">
        <f>SUM(B201:B201)</f>
        <v>0</v>
      </c>
      <c r="C200" s="33">
        <f aca="true" t="shared" si="29" ref="C200:N200">SUM(C201:C201)</f>
        <v>0</v>
      </c>
      <c r="D200" s="33">
        <f t="shared" si="29"/>
        <v>0</v>
      </c>
      <c r="E200" s="33">
        <f t="shared" si="29"/>
        <v>4907</v>
      </c>
      <c r="F200" s="33">
        <f t="shared" si="29"/>
        <v>0</v>
      </c>
      <c r="G200" s="33">
        <f t="shared" si="29"/>
        <v>0</v>
      </c>
      <c r="H200" s="33">
        <f t="shared" si="29"/>
        <v>0</v>
      </c>
      <c r="I200" s="33">
        <f t="shared" si="29"/>
        <v>0</v>
      </c>
      <c r="J200" s="33">
        <f t="shared" si="29"/>
        <v>0</v>
      </c>
      <c r="K200" s="33">
        <f t="shared" si="29"/>
        <v>0</v>
      </c>
      <c r="L200" s="33">
        <f t="shared" si="29"/>
        <v>18328</v>
      </c>
      <c r="M200" s="33">
        <f t="shared" si="29"/>
        <v>0</v>
      </c>
      <c r="N200" s="33">
        <f t="shared" si="29"/>
        <v>23235</v>
      </c>
    </row>
    <row r="201" spans="1:14" s="1" customFormat="1" ht="12.75">
      <c r="A201" s="38" t="s">
        <v>179</v>
      </c>
      <c r="B201" s="34"/>
      <c r="C201" s="36"/>
      <c r="D201" s="36"/>
      <c r="E201" s="36">
        <v>4907</v>
      </c>
      <c r="F201" s="36"/>
      <c r="G201" s="36"/>
      <c r="H201" s="36"/>
      <c r="I201" s="36"/>
      <c r="J201" s="36"/>
      <c r="K201" s="36"/>
      <c r="L201" s="36">
        <v>18328</v>
      </c>
      <c r="M201" s="36"/>
      <c r="N201" s="40">
        <f>SUM(B201:M201)</f>
        <v>23235</v>
      </c>
    </row>
    <row r="202" spans="1:14" s="1" customFormat="1" ht="12.75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5"/>
      <c r="N202" s="12"/>
    </row>
    <row r="203" spans="1:3" s="1" customFormat="1" ht="12.75">
      <c r="A203" s="11" t="s">
        <v>24</v>
      </c>
      <c r="C203" s="1" t="s">
        <v>25</v>
      </c>
    </row>
    <row r="204" spans="1:14" s="1" customFormat="1" ht="12.75">
      <c r="A204" s="14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5"/>
      <c r="N204" s="12"/>
    </row>
    <row r="205" spans="1:5" s="1" customFormat="1" ht="12.75">
      <c r="A205" s="11" t="s">
        <v>91</v>
      </c>
      <c r="C205" s="1" t="s">
        <v>25</v>
      </c>
      <c r="E205" s="1">
        <v>991643928</v>
      </c>
    </row>
  </sheetData>
  <sheetProtection selectLockedCells="1" selectUnlockedCells="1"/>
  <mergeCells count="6">
    <mergeCell ref="A1:N1"/>
    <mergeCell ref="A4:N4"/>
    <mergeCell ref="A82:N82"/>
    <mergeCell ref="A85:N85"/>
    <mergeCell ref="A2:N2"/>
    <mergeCell ref="A83:N83"/>
  </mergeCells>
  <printOptions/>
  <pageMargins left="0.1968503937007874" right="0" top="0.1968503937007874" bottom="0.1968503937007874" header="0" footer="0"/>
  <pageSetup horizontalDpi="300" verticalDpi="300" orientation="landscape" paperSize="9" scale="80" r:id="rId1"/>
  <rowBreaks count="2" manualBreakCount="2">
    <brk id="45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2022-01-04T09:30:00Z</cp:lastPrinted>
  <dcterms:created xsi:type="dcterms:W3CDTF">2019-01-18T06:37:49Z</dcterms:created>
  <dcterms:modified xsi:type="dcterms:W3CDTF">2022-01-14T07:55:11Z</dcterms:modified>
  <cp:category/>
  <cp:version/>
  <cp:contentType/>
  <cp:contentStatus/>
</cp:coreProperties>
</file>